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560" firstSheet="6" activeTab="11"/>
  </bookViews>
  <sheets>
    <sheet name="JANVIER 2017" sheetId="1" r:id="rId1"/>
    <sheet name="FEVRIER 2017" sheetId="2" r:id="rId2"/>
    <sheet name="MARS 2017" sheetId="3" r:id="rId3"/>
    <sheet name="AVRIL 2017" sheetId="4" r:id="rId4"/>
    <sheet name="MAI 2017" sheetId="5" r:id="rId5"/>
    <sheet name="JUIN 2017" sheetId="6" r:id="rId6"/>
    <sheet name="JUILLET 2017" sheetId="7" r:id="rId7"/>
    <sheet name="AOÛT 2017" sheetId="8" r:id="rId8"/>
    <sheet name="SEPTEMBRE 2017" sheetId="9" r:id="rId9"/>
    <sheet name="OCTOBRE 2017" sheetId="10" r:id="rId10"/>
    <sheet name="NOVEMBRE 2017" sheetId="11" r:id="rId11"/>
    <sheet name="DECEMBRE 2017" sheetId="12" r:id="rId12"/>
  </sheets>
  <calcPr calcId="125725"/>
</workbook>
</file>

<file path=xl/calcChain.xml><?xml version="1.0" encoding="utf-8"?>
<calcChain xmlns="http://schemas.openxmlformats.org/spreadsheetml/2006/main">
  <c r="F58" i="12"/>
  <c r="F56"/>
  <c r="E56"/>
  <c r="F59" i="11"/>
  <c r="F57"/>
  <c r="E57"/>
  <c r="F65" i="10"/>
  <c r="F63"/>
  <c r="E63"/>
  <c r="E41" i="8"/>
  <c r="E67" s="1"/>
  <c r="F69" s="1"/>
  <c r="E54" i="12"/>
  <c r="F84" i="9"/>
  <c r="F67" i="8"/>
  <c r="F76" i="7"/>
  <c r="F74"/>
  <c r="E74"/>
  <c r="F77" i="6"/>
  <c r="F75"/>
  <c r="E75"/>
  <c r="F70" i="5"/>
  <c r="F68"/>
  <c r="E68"/>
  <c r="F63" i="4"/>
  <c r="F61"/>
  <c r="E61"/>
  <c r="F79" i="3"/>
  <c r="F77"/>
  <c r="E77"/>
  <c r="F73" i="2"/>
  <c r="F71"/>
  <c r="E71"/>
  <c r="E51" i="12"/>
  <c r="E50"/>
  <c r="E46"/>
  <c r="E45"/>
  <c r="E43"/>
  <c r="E42"/>
  <c r="E41"/>
  <c r="E40"/>
  <c r="E39"/>
  <c r="E36"/>
  <c r="E35"/>
  <c r="E30"/>
  <c r="E28"/>
  <c r="E23"/>
  <c r="E18"/>
  <c r="E17"/>
  <c r="E12"/>
  <c r="E8"/>
  <c r="E6"/>
  <c r="E55" i="11"/>
  <c r="E54"/>
  <c r="E51"/>
  <c r="E50"/>
  <c r="E20" l="1"/>
  <c r="E45"/>
  <c r="E41"/>
  <c r="E38"/>
  <c r="E36" l="1"/>
  <c r="E35"/>
  <c r="E33"/>
  <c r="E30"/>
  <c r="E29"/>
  <c r="E18"/>
  <c r="E23"/>
  <c r="E17" l="1"/>
  <c r="E16"/>
  <c r="E14"/>
  <c r="E10" l="1"/>
  <c r="E6"/>
  <c r="E5"/>
  <c r="E4"/>
  <c r="E3" i="2"/>
  <c r="E62" i="10"/>
  <c r="E57"/>
  <c r="E51" l="1"/>
  <c r="E50"/>
  <c r="E49"/>
  <c r="E47"/>
  <c r="E45"/>
  <c r="E40" l="1"/>
  <c r="E39"/>
  <c r="E37"/>
  <c r="F34" l="1"/>
  <c r="E33"/>
  <c r="E28" l="1"/>
  <c r="E27" l="1"/>
  <c r="E25"/>
  <c r="E24"/>
  <c r="E20" l="1"/>
  <c r="E19" l="1"/>
  <c r="E16"/>
  <c r="E11" l="1"/>
  <c r="E9" l="1"/>
  <c r="E8"/>
  <c r="F69" i="1"/>
  <c r="F67"/>
  <c r="E67"/>
  <c r="E78" i="9"/>
  <c r="E76"/>
  <c r="E73"/>
  <c r="E69"/>
  <c r="E65"/>
  <c r="E3" i="3" l="1"/>
  <c r="E3" i="4" s="1"/>
  <c r="E58" i="9"/>
  <c r="E55"/>
  <c r="E53"/>
  <c r="E50"/>
  <c r="E46"/>
  <c r="E44"/>
  <c r="E3" i="5" l="1"/>
  <c r="E40" i="9"/>
  <c r="E37"/>
  <c r="E34"/>
  <c r="E32"/>
  <c r="E30"/>
  <c r="E25"/>
  <c r="E18"/>
  <c r="F14"/>
  <c r="E12"/>
  <c r="E8"/>
  <c r="E6"/>
  <c r="E3" i="6" l="1"/>
  <c r="E64" i="8"/>
  <c r="E63"/>
  <c r="E3" i="7" l="1"/>
  <c r="E58" i="8"/>
  <c r="E55"/>
  <c r="E53"/>
  <c r="E3" l="1"/>
  <c r="E3" i="9" s="1"/>
  <c r="E84" s="1"/>
  <c r="F86" s="1"/>
  <c r="E51" i="8"/>
  <c r="E50"/>
  <c r="E3" i="10" l="1"/>
  <c r="E3" i="11" s="1"/>
  <c r="E45" i="8"/>
  <c r="E3" i="12" l="1"/>
  <c r="E35" i="8"/>
  <c r="E33"/>
  <c r="E30"/>
  <c r="E28"/>
  <c r="E27"/>
  <c r="E22"/>
  <c r="E16"/>
  <c r="E15"/>
  <c r="E12"/>
  <c r="E9"/>
  <c r="E6" l="1"/>
  <c r="E73" i="7"/>
  <c r="E65" l="1"/>
  <c r="E62" l="1"/>
  <c r="E57" l="1"/>
  <c r="E55" l="1"/>
  <c r="E54"/>
  <c r="E52"/>
  <c r="E47"/>
  <c r="E42"/>
  <c r="E41"/>
  <c r="E32"/>
  <c r="E28"/>
  <c r="E27"/>
  <c r="E25"/>
  <c r="E22"/>
  <c r="E20"/>
  <c r="E17" l="1"/>
  <c r="E13" l="1"/>
  <c r="E11"/>
  <c r="E8" l="1"/>
  <c r="E6"/>
  <c r="E5"/>
  <c r="E4"/>
  <c r="E73" i="6"/>
  <c r="E69"/>
  <c r="E65"/>
  <c r="E64" l="1"/>
  <c r="E57"/>
  <c r="E56"/>
  <c r="E53"/>
  <c r="E52"/>
  <c r="E49"/>
  <c r="E46"/>
  <c r="E45"/>
  <c r="F40"/>
  <c r="E34"/>
  <c r="E32"/>
  <c r="E16"/>
  <c r="E24"/>
  <c r="E21"/>
  <c r="E20"/>
  <c r="E14" l="1"/>
  <c r="E13"/>
  <c r="E5"/>
  <c r="E4"/>
  <c r="E66" i="5"/>
  <c r="E64"/>
  <c r="E60"/>
  <c r="E56"/>
  <c r="E55"/>
  <c r="E53"/>
  <c r="E50"/>
  <c r="E47"/>
  <c r="E43"/>
  <c r="E39"/>
  <c r="E38" l="1"/>
  <c r="E31" l="1"/>
  <c r="F29"/>
  <c r="F28"/>
  <c r="E27"/>
  <c r="E24"/>
  <c r="E21"/>
  <c r="E17"/>
  <c r="E13"/>
  <c r="E10"/>
  <c r="E9"/>
  <c r="E7" l="1"/>
  <c r="E59" i="4"/>
  <c r="E58"/>
  <c r="E54"/>
  <c r="E51"/>
  <c r="E49"/>
  <c r="E48"/>
  <c r="E42"/>
  <c r="E39"/>
  <c r="E38"/>
  <c r="E36"/>
  <c r="E33"/>
  <c r="E32"/>
  <c r="E30"/>
  <c r="E27"/>
  <c r="E24"/>
  <c r="E23"/>
  <c r="E17"/>
  <c r="E14"/>
  <c r="E68" i="3"/>
  <c r="E64"/>
  <c r="E59"/>
  <c r="E56"/>
  <c r="E54"/>
  <c r="E51"/>
  <c r="E44"/>
  <c r="E43"/>
  <c r="E39"/>
  <c r="E37"/>
  <c r="E28"/>
  <c r="E22"/>
  <c r="E21"/>
  <c r="E18"/>
  <c r="E17"/>
  <c r="E11"/>
  <c r="E7"/>
  <c r="E69" i="2"/>
  <c r="E65"/>
  <c r="E57"/>
  <c r="E55"/>
  <c r="E54"/>
  <c r="E48"/>
  <c r="E46"/>
  <c r="E42"/>
  <c r="E38"/>
  <c r="E35"/>
  <c r="E33"/>
  <c r="E27"/>
  <c r="E24"/>
  <c r="E22"/>
  <c r="E18"/>
  <c r="E17"/>
  <c r="E8"/>
  <c r="E5"/>
  <c r="E4"/>
  <c r="E65" i="1"/>
  <c r="E64"/>
  <c r="E61"/>
  <c r="E57"/>
  <c r="E54"/>
  <c r="E53"/>
  <c r="E48"/>
  <c r="E42"/>
  <c r="E39"/>
  <c r="E25"/>
  <c r="E22"/>
  <c r="E20"/>
  <c r="E16"/>
  <c r="E14"/>
  <c r="E9"/>
  <c r="E7"/>
  <c r="E5"/>
</calcChain>
</file>

<file path=xl/sharedStrings.xml><?xml version="1.0" encoding="utf-8"?>
<sst xmlns="http://schemas.openxmlformats.org/spreadsheetml/2006/main" count="856" uniqueCount="554">
  <si>
    <t>DATE</t>
  </si>
  <si>
    <t>PIECE N°</t>
  </si>
  <si>
    <t>DESIGNATION</t>
  </si>
  <si>
    <t>ENTREE</t>
  </si>
  <si>
    <t>SORTIE</t>
  </si>
  <si>
    <t>CARBURANT JIMNY</t>
  </si>
  <si>
    <t>TOTAL</t>
  </si>
  <si>
    <t>FOURNITURES - SOCOCE ZONE 3</t>
  </si>
  <si>
    <t>FOURNITURES - PAPIGRAPH</t>
  </si>
  <si>
    <t>FOURNITURES - BERNABE</t>
  </si>
  <si>
    <t>PONT HKB</t>
  </si>
  <si>
    <t>VENTES AU COMPTANT DU 02/02</t>
  </si>
  <si>
    <t>VENTES AU COMPTANT DU 03/02</t>
  </si>
  <si>
    <t>FOURNITURES - SAKO SOULEYMANE</t>
  </si>
  <si>
    <t>ENTRETIEN CLIMATISATION</t>
  </si>
  <si>
    <t>ENTREE PORT</t>
  </si>
  <si>
    <t>CARBURANT KTM</t>
  </si>
  <si>
    <t>FACTURE SODECI</t>
  </si>
  <si>
    <t>FOURNITURES - ADJARATOU</t>
  </si>
  <si>
    <t>RECHARGES ORANGE</t>
  </si>
  <si>
    <t>VIDANGE KTM</t>
  </si>
  <si>
    <t>FOURNITURES - M2A</t>
  </si>
  <si>
    <t>MENUISIER</t>
  </si>
  <si>
    <t>REPARATION ET ENTRETIEN KTM</t>
  </si>
  <si>
    <t>VENTES AU COMPTANT DU 01/06</t>
  </si>
  <si>
    <t>VENTES AU COMPTANT DU 02/06</t>
  </si>
  <si>
    <t>HUILE VIDANGE KTM</t>
  </si>
  <si>
    <t>TIMBRES FISCAUX</t>
  </si>
  <si>
    <t>VENTES AU COMPTANT DU 01/07</t>
  </si>
  <si>
    <t>MANUTENTION - HYSTER</t>
  </si>
  <si>
    <t>VIDANGE + ENTRETIEN KTM</t>
  </si>
  <si>
    <t>FOURNITURES - M2A DISTRIBUTION</t>
  </si>
  <si>
    <t>FOURNITURES - TECHNIBAT</t>
  </si>
  <si>
    <t>ATTESTATION DE REGULARITE FISCALE</t>
  </si>
  <si>
    <t>RELIURES - M-L</t>
  </si>
  <si>
    <t>LOCATION CAMION DE LIVRAISON</t>
  </si>
  <si>
    <t>VENTES AU COMPTANT DU 02/11</t>
  </si>
  <si>
    <t>VENTES AU COMPTANT DU 03/11</t>
  </si>
  <si>
    <t>RELIURES - SAMUEL</t>
  </si>
  <si>
    <t>APPORT CAISSE</t>
  </si>
  <si>
    <t>REPARATION KTM</t>
  </si>
  <si>
    <t>LAVAGE JIMNY</t>
  </si>
  <si>
    <t>REMUNERATION STAGE - JEAN-DANIEL</t>
  </si>
  <si>
    <t>REPORT DECEMBRE 2016</t>
  </si>
  <si>
    <t>VENTES AU COMPTANT DU 03/01</t>
  </si>
  <si>
    <t>PEAGE AUTOROUTE YOPOUGON</t>
  </si>
  <si>
    <t>VENTES AU COMPTANT DU 05/01</t>
  </si>
  <si>
    <t>VENTES AU COMPTANT DU 06/01</t>
  </si>
  <si>
    <t>PRÊT - TANOH</t>
  </si>
  <si>
    <t>FRAIS TAXI - SEMAINE DU 02/01 AU 07/01</t>
  </si>
  <si>
    <t>SIEGE BUREAU - ETS KEITA &amp; FRE</t>
  </si>
  <si>
    <t>VENTES AU COMPTANT DU 09/01</t>
  </si>
  <si>
    <t>AVANCE SUR SALAIRE JANVIER 2017 - JUDICAEL</t>
  </si>
  <si>
    <t>VENTES AU COMPTANT DU 10/01</t>
  </si>
  <si>
    <t>AVANCE SUR SALAIRE JANVIER 2017 - SEVERIN</t>
  </si>
  <si>
    <t>VENTES AU COMPTANT DU 11/01</t>
  </si>
  <si>
    <t>FOURNITURES - MAIGA MOHAMED</t>
  </si>
  <si>
    <t>VENTES AU COMPTANT DU 12/01</t>
  </si>
  <si>
    <t>LE RALLYE - REPAS SOS</t>
  </si>
  <si>
    <t>VENTES AU COMPTANT DU 13/01</t>
  </si>
  <si>
    <t>FOURNITURES - ETABLISSEMENT AMOS</t>
  </si>
  <si>
    <t>VIN - SODIREP</t>
  </si>
  <si>
    <t>FOURNITURES - QUINCAILLERIE ISSIAKA</t>
  </si>
  <si>
    <t>FRAIS TAXI - SEMAINE DU 09/01 AU 14/01</t>
  </si>
  <si>
    <t>VENTES AU COMPTANT DU 17/01</t>
  </si>
  <si>
    <t>VENTES AU COMPTANT DU 18/01</t>
  </si>
  <si>
    <t>VENTES AU COMPTANT DU 19/01</t>
  </si>
  <si>
    <t>VENTES AU COMPTANT DU 20/01</t>
  </si>
  <si>
    <t>FRAIS TAXI - SEMAINE DU 16/01 AU 21/01</t>
  </si>
  <si>
    <t>AVANCE SUR SALAIRE JANVIER 2017 - PIERRE-LOUIS</t>
  </si>
  <si>
    <t>VENTES AU COMPTANT DU 23/01</t>
  </si>
  <si>
    <t>AVOIR - SDIPM</t>
  </si>
  <si>
    <t>APPORT CAISSE - SGBCI BIETRY</t>
  </si>
  <si>
    <t>VENTES AU COMPTANT DU 24/01</t>
  </si>
  <si>
    <t>VENTES AU COMPTANT DU 25/01</t>
  </si>
  <si>
    <t>VENTES AU COMPTANT DU 26/01</t>
  </si>
  <si>
    <t>SALAIRE JANVIER 2017 - KONAN YAO VINCENT</t>
  </si>
  <si>
    <t>VENTES AU COMPTANT DU 27/01</t>
  </si>
  <si>
    <t>FRAIS TAXI - SEMAINE DU 23/01 AU 28/01</t>
  </si>
  <si>
    <t>VENTES AU COMPTANT DU 30/01</t>
  </si>
  <si>
    <t>VENTES AU COMPTANT DU 31/01</t>
  </si>
  <si>
    <t>FRAIS TAXI - SEMAINE DU 30/01 AU 31/01</t>
  </si>
  <si>
    <t>REPORT JANVIER 2017</t>
  </si>
  <si>
    <t>VENTES AU COMPTANT DU 01/02</t>
  </si>
  <si>
    <t>MONTAGE SERRURE</t>
  </si>
  <si>
    <t>FRAIS TAXI - SEMAINE DU 01/02 AU 04/02</t>
  </si>
  <si>
    <t>CLES - I.M.S</t>
  </si>
  <si>
    <t>CALCULATRICE</t>
  </si>
  <si>
    <t>ENTRETIEN KTM</t>
  </si>
  <si>
    <t>VENTES AU COMPTANT DU 06/02</t>
  </si>
  <si>
    <t>VENTES AU COMPTANT DU 07/02</t>
  </si>
  <si>
    <t>ASSURANCE KTM</t>
  </si>
  <si>
    <t>VENTES AU COMPTANT DU 08/02</t>
  </si>
  <si>
    <t>VENTES AU COMPTANT DU 09/02</t>
  </si>
  <si>
    <t>AVANCE SUR SALAIRE FEVRIER 2017 - JUDICAEL</t>
  </si>
  <si>
    <t>VENTES AU COMPTANT DU 10/02</t>
  </si>
  <si>
    <t>FRAIS TAXI - SEMAINE DU 06/02 AU 11/02</t>
  </si>
  <si>
    <t>AVANCE SUR SALAIRE FEVRIER 2017 - MARIE-LAURE</t>
  </si>
  <si>
    <t>AVANCE SUR SALAIRE FEVRIER 2017 - SEVERIN</t>
  </si>
  <si>
    <t>VENTES AU COMPTANT DU 13/02</t>
  </si>
  <si>
    <t>VENTES AU COMPTANT DU 14/02</t>
  </si>
  <si>
    <t>VENTES AU COMPTANT DU 15/02</t>
  </si>
  <si>
    <t>VENTES AU COMPTANT DU 16/02</t>
  </si>
  <si>
    <t>VENTES AU COMPTANT DU 18/02</t>
  </si>
  <si>
    <t>FRAIS TAXI - SEMAINE DU 13/02 AU 18/02</t>
  </si>
  <si>
    <t>VENTES AU COMPTANT DU 20/02</t>
  </si>
  <si>
    <t>REPARATION JIMNY - KOKO KOUAKOU MODESTE</t>
  </si>
  <si>
    <t>CARTES DE VISITE - ATABIS-CI</t>
  </si>
  <si>
    <t>BILLET D'AVION - PIERRE-LOUIS</t>
  </si>
  <si>
    <t>VENTES AU COMPTANT DU 22/02</t>
  </si>
  <si>
    <t>VENTES AU COMPTANT DU 23/02</t>
  </si>
  <si>
    <t>MODIFICATION VOL - PIERRE-LOUIS</t>
  </si>
  <si>
    <t>VENTES AU COMPTANT DU 24/02</t>
  </si>
  <si>
    <t>FRAIS TAXI - SEMAINE DU 20/02 AU 25/02</t>
  </si>
  <si>
    <t>RELIURE - SENOU BI</t>
  </si>
  <si>
    <t>SALAIRE FEVRIER 2017 - KONAN YAO VINCENT</t>
  </si>
  <si>
    <t>VENTES AU COMPTANT DU 27/02</t>
  </si>
  <si>
    <t>VENTES AU COMPTANT DU 28/02</t>
  </si>
  <si>
    <t>FRAIS TAXI - SEMAINE DU 27/02 AU 28/02</t>
  </si>
  <si>
    <t>REPORT FEVRIER 2017</t>
  </si>
  <si>
    <t>APPROVISIONNEMENT CAISSE</t>
  </si>
  <si>
    <t>VENTES AU COMPTANT DU 01/03</t>
  </si>
  <si>
    <t>RELIURE - M-L</t>
  </si>
  <si>
    <t>VENTES AU COMPTANT DU 02/03</t>
  </si>
  <si>
    <t>FRAIS TAXI - SEMAINE DU 01/03 AU 04/03</t>
  </si>
  <si>
    <t>AVANCE SUR SALAIRE MARS 2017 - JUDICAEL</t>
  </si>
  <si>
    <t>VENTES AU COMPTANT DU 06/03</t>
  </si>
  <si>
    <t>VENTES AU COMPTANT DU 07/03</t>
  </si>
  <si>
    <t>AVANCE SUR SALAIRE MARS 2017 - SEVERIN</t>
  </si>
  <si>
    <t>VENTES AU COMPTANT DU 08/03</t>
  </si>
  <si>
    <t>VENTES AU COMPTANT DU 09/03</t>
  </si>
  <si>
    <t>FOURNITURES - DICKO HAMADI CHEICK</t>
  </si>
  <si>
    <t>VENTES AU COMPTANT DU 10/03</t>
  </si>
  <si>
    <t>CACHET - NAURELLE GROUPE DECOR</t>
  </si>
  <si>
    <t>FOURNITURES</t>
  </si>
  <si>
    <t>FRAIS TAXI - SEMAINE DU 06/03 AU 11/03</t>
  </si>
  <si>
    <t>POLOS - NAURELLE GROUPE DECOR</t>
  </si>
  <si>
    <t>VENTES AU COMPTANT DU 13/03</t>
  </si>
  <si>
    <t>VENTES AU COMPTANT DU 14/03</t>
  </si>
  <si>
    <t>VENTES AU COMPTANT DU 15/03</t>
  </si>
  <si>
    <t>VENTES AU COMPTANT DU 16/03</t>
  </si>
  <si>
    <t>AVANCE SUR SALAIRE MARS 2017 - TANOH</t>
  </si>
  <si>
    <t>FRAIS TAXI - SEMAINE DU 13/03 AU 18/03</t>
  </si>
  <si>
    <t>CODE FISCAL</t>
  </si>
  <si>
    <t>VENTES AU COMPTANT DU 20/03</t>
  </si>
  <si>
    <t>VENTES AU COMPTANT DU 21/03</t>
  </si>
  <si>
    <t>VENTES AU COMPTANT DU 22/03</t>
  </si>
  <si>
    <t>REPORT MARS 2017</t>
  </si>
  <si>
    <t>VENTES AU COMPTANT DU 23/03</t>
  </si>
  <si>
    <t>VENTES AU COMPTANT - A-CONSTRUCT</t>
  </si>
  <si>
    <t>FRAIS TAXI - SEMAINE DU 20/03 AU 25/03</t>
  </si>
  <si>
    <t>VENTES AU COMPTANT DU 27/03</t>
  </si>
  <si>
    <t>ACHAT RONDELLES PLATES INOX</t>
  </si>
  <si>
    <t>VENTES AU COMPTANT DU 29/03</t>
  </si>
  <si>
    <t>SALAIRE MARS 2017 - KONAN YAO VINCENT</t>
  </si>
  <si>
    <t>REGLEMENT INTERNET 03/2017</t>
  </si>
  <si>
    <t>PEINTURE ANTIROUILLE</t>
  </si>
  <si>
    <t>PEINTURE RANGEMENT FEUILLE DE TOLE</t>
  </si>
  <si>
    <t>FRAIS TAXI - SEMAINE DU 27/03 AU 31/03</t>
  </si>
  <si>
    <t>AVANCE SUR SALAIRE AVRIL 2017 - JUDICAEL</t>
  </si>
  <si>
    <t>MANUTENTION RANGEMENT DE TOLE</t>
  </si>
  <si>
    <t>SOIN KONAN VINCENT</t>
  </si>
  <si>
    <t>LAVAGE VEHICULE</t>
  </si>
  <si>
    <t>FOURNITURES - SOCIETE DES 2 PLATEAUX</t>
  </si>
  <si>
    <t>VENTES AU COMPTANT DU 03/04</t>
  </si>
  <si>
    <t>AVANCE SUR SALAIRE AVRIL 2017 - SEVERIN</t>
  </si>
  <si>
    <t>DEPANNAGE INFORMATIQUE</t>
  </si>
  <si>
    <t>VENTES AU COMPTANT DU 04/04</t>
  </si>
  <si>
    <t>ENREGISTREMENT COMPTE COURANT</t>
  </si>
  <si>
    <t>RETOUR MARCHANDISES - SCI MAFEN</t>
  </si>
  <si>
    <t>VENTES AU COMPTANT DU 05/04</t>
  </si>
  <si>
    <t>TRANSPORT MARCHANDISE - SARCI</t>
  </si>
  <si>
    <t>VIDANGE ET LAVAGE KTM</t>
  </si>
  <si>
    <t>VENTES AU COMPTANT - PRECIX SARL</t>
  </si>
  <si>
    <t>VENTES AU COMPTANT DU 08/04</t>
  </si>
  <si>
    <t>FRAIS TAXI - SEMAINE DU 03/04 AU 08/04</t>
  </si>
  <si>
    <t>LIVRAISON A LA SOLIBRA</t>
  </si>
  <si>
    <t>VENTES AU COMPTANT DU 10/04</t>
  </si>
  <si>
    <t>VENTES AU COMPTANT DU 11/04</t>
  </si>
  <si>
    <t>AVANCE SUR SALAIRE AVRIL 2017 - VINCENT</t>
  </si>
  <si>
    <t>VENTES AU COMPTANT DU 12/04</t>
  </si>
  <si>
    <t>VENTES AU COMPTANT DU 13/04</t>
  </si>
  <si>
    <t>VENTES AU COMPTANT DU 15/04</t>
  </si>
  <si>
    <t>AVANCE SUR SALAIRE AVRIL 2017 - TANOH</t>
  </si>
  <si>
    <t>VENTES AU COMPTANT DU 18/04</t>
  </si>
  <si>
    <t>GONFLAGE 4 PNEUS</t>
  </si>
  <si>
    <t>ACHAT FOURNITURES BERNABE</t>
  </si>
  <si>
    <t>VENTES AU COMPTANT DU 19/04</t>
  </si>
  <si>
    <t>RECHARGE CARTE CARBURANT</t>
  </si>
  <si>
    <t>TRANSPORT SUR MARCHANDISE GeCo</t>
  </si>
  <si>
    <t>ACHAT FAUTEUIL DIRECTEUR</t>
  </si>
  <si>
    <t>FRAIS TAXI - SEMAINE DU 17/04 AU 22/04</t>
  </si>
  <si>
    <t>VENTES AU COMPTANT DU 24/04</t>
  </si>
  <si>
    <t>VENTES AU COMPTANT DU 25/04</t>
  </si>
  <si>
    <t>VENTES AU COMPTANT DU 26/04</t>
  </si>
  <si>
    <t>REPARATION MOTO</t>
  </si>
  <si>
    <t>VENTES AU COMPTANT DU 27/04</t>
  </si>
  <si>
    <t>ACHAT TELEPHONE DUO</t>
  </si>
  <si>
    <t>VENTES AU COMPTANT DU 28/04</t>
  </si>
  <si>
    <t>VENTES AU COMPTANT DU 29/04</t>
  </si>
  <si>
    <t>FRAIS TAXI - SEMAINE DU 24/04 AU 29/04</t>
  </si>
  <si>
    <t>REPORT AVRIL 2017</t>
  </si>
  <si>
    <t>SALAIRE AVRIL 2017 - KONAN YAO VINCENT</t>
  </si>
  <si>
    <t>TRANSPORT SUR M/SES - SARCI / PROLINE</t>
  </si>
  <si>
    <t>VENTES AU COMPTANT DU 02/05</t>
  </si>
  <si>
    <t>LE RALLYE - 2I IVOIRE INGENIERIE</t>
  </si>
  <si>
    <t>RELIQUAT - A-CONSTRUCT</t>
  </si>
  <si>
    <t>VENTES AU COMPTANT DU 03/05</t>
  </si>
  <si>
    <t>REMBOURSEMENT FAC 280 - SITBAI</t>
  </si>
  <si>
    <t>DEPOT ESPECES - SGBCI BIETRY</t>
  </si>
  <si>
    <t>VENTES AU COMPTANT DU 04/05</t>
  </si>
  <si>
    <t>REMBOURSEMENT AVANCE - PIERRE-LOUIS</t>
  </si>
  <si>
    <t>VENTES AU COMPTANT DU 05/05</t>
  </si>
  <si>
    <t>TROUSSE DE SECOURS</t>
  </si>
  <si>
    <t>FRAIS TAXI - SEMAINE DU 02/05 AU 06/05</t>
  </si>
  <si>
    <t>CARTES DE VISITE - SENOU BI</t>
  </si>
  <si>
    <t>VENTES AU COMPTANT DU 08/05</t>
  </si>
  <si>
    <t>AVANCE SUR SALAIRE MAI 2017 - JUDICAEL</t>
  </si>
  <si>
    <t>VENTES AU COMPTANT DU 09/05</t>
  </si>
  <si>
    <t>VENTES AU COMPTANT DU 11/05</t>
  </si>
  <si>
    <t>AVANCE SUR SALAIRE MAI 2017 - SEVERIN</t>
  </si>
  <si>
    <t>VENTES AU COMPTANT DU 12/05</t>
  </si>
  <si>
    <t>COUVERTURES BILAN</t>
  </si>
  <si>
    <t>CALCULATRICES - CHEZ MATGA</t>
  </si>
  <si>
    <t>FRAIS TAXI - SEMAINE DU 08/05 AU 13/05</t>
  </si>
  <si>
    <t>AVANCE SUR SALAIRE MAI 2017 - TANOH</t>
  </si>
  <si>
    <t>VENTES AU COMPTANT DU 15/05</t>
  </si>
  <si>
    <t>VENTES AU COMPTANT DU 16/05</t>
  </si>
  <si>
    <t>RECHARGES ORANGE + SIM</t>
  </si>
  <si>
    <t>ENTREE PORT - M-L</t>
  </si>
  <si>
    <t>VENTES AU COMPTANT DU 17/05</t>
  </si>
  <si>
    <t>VENTES AU COMPTANT DU 19/05</t>
  </si>
  <si>
    <t>FRAIS TAXI - SEMAINE DU 15/05 AU 20/05</t>
  </si>
  <si>
    <t>VENTES AU COMPTANT DU 22/05</t>
  </si>
  <si>
    <t>CACHETS - NAURELLE GROUPE DECOR</t>
  </si>
  <si>
    <t>VENTES AU COMPTANT DU 23/05</t>
  </si>
  <si>
    <t>LA NOUVELLE GORGE D'OR - FRIEDLANDER</t>
  </si>
  <si>
    <t>VENTES AU COMPTANT DU 24/05</t>
  </si>
  <si>
    <t>VENTES AU COMPTANT DU 26/05</t>
  </si>
  <si>
    <t>RELIURES - T</t>
  </si>
  <si>
    <t>FRAIS TAXI - SEMAINE DU 22/05 AU 27/05</t>
  </si>
  <si>
    <t>VENTES AU COMPTANT DU 29/05</t>
  </si>
  <si>
    <t>SALAIRE MAI 2017 - CHRISTINE KOUAME</t>
  </si>
  <si>
    <t>MANUTENTION HYSTER</t>
  </si>
  <si>
    <t>VENTES AU COMPTANT DU 30/05</t>
  </si>
  <si>
    <t>VENTES AU COMPTANT DU 31/05</t>
  </si>
  <si>
    <t>FRAIS TAXI - SEMAINE DU 29/05 AU 31/05</t>
  </si>
  <si>
    <t>REPORT MAI 2017</t>
  </si>
  <si>
    <t>LIVRAISON SARCI YOPOUGON</t>
  </si>
  <si>
    <t>FOURNITURES - CHEZ SIMPORA MAMA</t>
  </si>
  <si>
    <t>AVANCE SUR SALAIRE JUIN 2017 - SEVERIN</t>
  </si>
  <si>
    <t>VENTES AU COMPTANT DU 06/06</t>
  </si>
  <si>
    <t>VENTES AU COMPTANT DU 07/06</t>
  </si>
  <si>
    <t>VENTES AU COMPTANT DU 08/06</t>
  </si>
  <si>
    <t>LIVRAISON SICODIS</t>
  </si>
  <si>
    <t>MANUTENTION HYSTER - STAPPERT</t>
  </si>
  <si>
    <t>MANUTENTION HYSTER - EMILE MAURIN</t>
  </si>
  <si>
    <t>VENTES AU COMPTANT DU 09/06</t>
  </si>
  <si>
    <t>VENTES AU COMPTANT DU 10/06</t>
  </si>
  <si>
    <t>AVANCE SUR SALAIRE JUIN 2017 - JUDICAEL</t>
  </si>
  <si>
    <t>FRAIS TAXI - SEMAINE DU 06/06 AU 10/06</t>
  </si>
  <si>
    <t>VENTES AU COMPTANT DU 12/06</t>
  </si>
  <si>
    <t>VENTES AU COMPTANT DU 14/06</t>
  </si>
  <si>
    <t>PLOMBERIE</t>
  </si>
  <si>
    <t>VENTES AU COMPTANT DU 13/06</t>
  </si>
  <si>
    <t>VENTES AU COMPTANT DU 15/06</t>
  </si>
  <si>
    <t>FOURNITURES - CARREFOUR</t>
  </si>
  <si>
    <t>SECRETARIAT - ETS KEITA &amp; FRE</t>
  </si>
  <si>
    <t>MAINTENANCE INFORMATIQUE MAI 2017</t>
  </si>
  <si>
    <t>VENTES AU COMPTANT DU 16/06</t>
  </si>
  <si>
    <t>VENTES AU COMPTANT DU 17/06</t>
  </si>
  <si>
    <t>FRAIS TAXI - SEMAINE DU 12/06 AU 17/06</t>
  </si>
  <si>
    <t>VENTES AU COMPTANT DU 19/06</t>
  </si>
  <si>
    <t>AVANCE SUR SALAIRE JUIN 2017 - TANOH</t>
  </si>
  <si>
    <t>VENTES AU COMPTANT DU 20/06</t>
  </si>
  <si>
    <t>VENTES AU COMPTANT DU 21/06</t>
  </si>
  <si>
    <t>VENTES AU COMPTANT DU 23/06</t>
  </si>
  <si>
    <t>VENTES AU COMPTANT DU 24/06</t>
  </si>
  <si>
    <t>FOURNITURES - TAPO SEKOU</t>
  </si>
  <si>
    <t>FRAIS TAXI - SEMAINE DU 19/06 AU 24/06</t>
  </si>
  <si>
    <t>FR1700008 - ACSER SARL</t>
  </si>
  <si>
    <t>VENTES AU COMPTANT DU 27/06</t>
  </si>
  <si>
    <t>VENTES AU COMPTANT DU 28/06</t>
  </si>
  <si>
    <t>CHARGEMENT CARTE TOTAL KTM</t>
  </si>
  <si>
    <t>REPARATION + VIDANGE KTM</t>
  </si>
  <si>
    <t>VENTES AU COMPTANT DU 29/06</t>
  </si>
  <si>
    <t>SALAIRE JUIN 2017 - JILUS BAMBA</t>
  </si>
  <si>
    <t>SALAIRE JUIN 2017 - CHRISTINE KOUAME</t>
  </si>
  <si>
    <t>VENTES AU COMPTANT DU 30/06</t>
  </si>
  <si>
    <t>FRAIS TAXI - SEMAINE DU 26/06 AU 30/06</t>
  </si>
  <si>
    <t>REPORT JUIN 2017</t>
  </si>
  <si>
    <t>VENTES AU COMPTANT DU 03/07</t>
  </si>
  <si>
    <t>VENTES AU COMPTANT DU 04/07</t>
  </si>
  <si>
    <t>VENTES AU COMPTANT DU 05/07</t>
  </si>
  <si>
    <t>VENTES AU COMPTANT DU 06/07</t>
  </si>
  <si>
    <t>AVANCE SUR SALAIRE JUILLET 2017 - JUDICAEL</t>
  </si>
  <si>
    <t>VENTES AU COMPTANT DU 07/07</t>
  </si>
  <si>
    <t>AVANCE SUR SALAIRE JUILLET 2017 - SEVERIN</t>
  </si>
  <si>
    <t>FRAIS TAXI - SEMAINE DU 03/07 AU 08/07</t>
  </si>
  <si>
    <t>VENTES AU COMPTANT DU 08/07</t>
  </si>
  <si>
    <t>ACHAT - CIBAT</t>
  </si>
  <si>
    <t>REGLEMENT DIV FACT COMPTANT ATR</t>
  </si>
  <si>
    <t>REGLT PRECIX</t>
  </si>
  <si>
    <t>VENTES AU COMPTANT DU 11/07</t>
  </si>
  <si>
    <t>REGLEMENT DIV REPARATION MOTO</t>
  </si>
  <si>
    <t>AVANCE SALAIRE 07/2017 - JUDICAEL</t>
  </si>
  <si>
    <t>VENTES AU COMPTANT DU 12/07</t>
  </si>
  <si>
    <t>REGLEMENT ASS IND ACCIDENT KONAN</t>
  </si>
  <si>
    <t>VENTES AU COMPTANT DU 13/07</t>
  </si>
  <si>
    <t>VENTES AU COMPTANT DU 14/07</t>
  </si>
  <si>
    <t>REGLEMENT AVANCE SALAIRE 07/17 - JUDICAEL</t>
  </si>
  <si>
    <t>FRAIS TAXI - SEMAINE DU 10/07 AU 15/07</t>
  </si>
  <si>
    <t>LAVAGE VEHICULE SUZIKI</t>
  </si>
  <si>
    <t>VENTES AU COMPTANT DU 17/07</t>
  </si>
  <si>
    <t>REGLEMENT ELECTRICIEN</t>
  </si>
  <si>
    <t>FOURNITURES - SOCOCE</t>
  </si>
  <si>
    <t>FOURNITURES - PAPIGRAPH-CI</t>
  </si>
  <si>
    <t>REPARATION FAUTEUIL</t>
  </si>
  <si>
    <t>MANUTENTION HYSTER - FABORY</t>
  </si>
  <si>
    <t>FRAIS SUR CHEQUE IMPAYE : ETS AUDIS</t>
  </si>
  <si>
    <t>VENTES AU COMPTANT DU 19/07</t>
  </si>
  <si>
    <t>VENTES AU COMPTANT DU 20/07</t>
  </si>
  <si>
    <t>RELIURE - ASSEMBLEE GENERALE</t>
  </si>
  <si>
    <t>DROIT ENREGISTREMENT : ASSEMBLEE GENERALE</t>
  </si>
  <si>
    <t>ACHAT DIV ARTICLE</t>
  </si>
  <si>
    <t>VENTES AU COMPTANT DU 22/07</t>
  </si>
  <si>
    <t>ASSEMBLEE GENERALE</t>
  </si>
  <si>
    <t>FRAIS TAXI - SEMAINE DU 17/07 AU 22/07</t>
  </si>
  <si>
    <t>FRAIS DE CARBURANT</t>
  </si>
  <si>
    <t>AVANCE SALAIRE 07/2017 - TANOH</t>
  </si>
  <si>
    <t>VENTES AU COMPTANT DU 24/07</t>
  </si>
  <si>
    <t>VENTES AU COMPTANT DU 25/07</t>
  </si>
  <si>
    <t>VENTES AU COMPTANT DU 26/07</t>
  </si>
  <si>
    <t>RESTAURANT VIP LAFAGETTE - SOLIBRA</t>
  </si>
  <si>
    <t>VENTES AU COMPTANT DU 27/07</t>
  </si>
  <si>
    <t>AVANCE SUR SALAIRE JUILLET 2017 - TANOH</t>
  </si>
  <si>
    <t>TELEPHONES MOBILES - JUMIA</t>
  </si>
  <si>
    <t>SAC A DOS - GASTON</t>
  </si>
  <si>
    <t>VENTES AU COMPTANT DU 28/07</t>
  </si>
  <si>
    <t>MAINTENANCE INFORMATIQUE JUIN 2017</t>
  </si>
  <si>
    <t>VENTES AU COMPTANT DU 29/07</t>
  </si>
  <si>
    <t>FRAIS TAXI - SEMAINE DU 24/07 AU 29/07</t>
  </si>
  <si>
    <t>REPARATIONS ELECTRIQUES</t>
  </si>
  <si>
    <t>PRESTATION COMPTABLE - CMAPS</t>
  </si>
  <si>
    <t>VENTES AU COMPTANT DU 31/07</t>
  </si>
  <si>
    <t>REPORT JUILLET 2017</t>
  </si>
  <si>
    <t>VENTES AU COMPTANT DU 01/08</t>
  </si>
  <si>
    <t>SALAIRE JUILLET 2017 - JILUS BAMBA</t>
  </si>
  <si>
    <t>SALAIRE JUILLET 2017 - CHRISTINE KOUAME</t>
  </si>
  <si>
    <t>VENTES AU COMPTANT DU 02/08</t>
  </si>
  <si>
    <t>AVANCE SUR SALAIRE AOUT 2017 - JUDICAEL</t>
  </si>
  <si>
    <t>VENTES AU COMPTANT DU 03/08</t>
  </si>
  <si>
    <t>FRAIS TAXI - SEMAINE DU 01/08 AU 05/08</t>
  </si>
  <si>
    <t>VENTES AU COMPTANT DU 08/08</t>
  </si>
  <si>
    <t>VENTES AU COMPTANT DU 09/08</t>
  </si>
  <si>
    <t>AVANCE SUR SALAIRE AOUT 2017 - TANOH</t>
  </si>
  <si>
    <t>SAC A DOS - TANOH</t>
  </si>
  <si>
    <t>RESTAURANT KEVIA</t>
  </si>
  <si>
    <t>VENTES AU COMPTANT DU 10/08</t>
  </si>
  <si>
    <t>PRÊT TANOH</t>
  </si>
  <si>
    <t>SALAIRE JUILLET 2017 - PIERRE-LOUIS</t>
  </si>
  <si>
    <t>VENTES AU COMPTANT DU 11/08</t>
  </si>
  <si>
    <t>VENTES AU COMPTANT DU 12/08</t>
  </si>
  <si>
    <t>FRAIS TAXI - SEMAINE DU 08/08 AU 12/08</t>
  </si>
  <si>
    <t>VENTES AU COMPTANT DU 14/08</t>
  </si>
  <si>
    <t>VENTES AU COMPTANT DU 16/08</t>
  </si>
  <si>
    <t>RELIURES - SENOU BI</t>
  </si>
  <si>
    <t>VENTES AU COMPTANT DU 17/08</t>
  </si>
  <si>
    <t>AVANCE SUR SALAIRE AOUT 2017 - SEVERIN</t>
  </si>
  <si>
    <t>MAINTENANCE INFORMATIQUE JUILLET 2017</t>
  </si>
  <si>
    <t>VENTES AU COMPTANT DU 18/08</t>
  </si>
  <si>
    <t>FRAIS TAXI - SEMAINE DU 14/08 AU 19/08</t>
  </si>
  <si>
    <t>VENTES AU COMPTANT DU 21/08</t>
  </si>
  <si>
    <t>AVANCE SUR SALAIRE AOUT 2017 - GASTON</t>
  </si>
  <si>
    <t>VENTES AU COMPTANT DU 22/08</t>
  </si>
  <si>
    <t>VENTES AU COMPTANT DU 23/08</t>
  </si>
  <si>
    <t>VENTES AU COMPTANT DU 24/08</t>
  </si>
  <si>
    <t>TRANSPORT - LIVRAISON UNIWAX</t>
  </si>
  <si>
    <t>VENTES AU COMPTANT DU 25/08</t>
  </si>
  <si>
    <t>FRAIS TAXI - SEMAINE DU 21/08 AU 26/08</t>
  </si>
  <si>
    <t>VENTES AU COMPTANT DU 28/08</t>
  </si>
  <si>
    <t>SALAIRE AOÛT 2017 - JILUS BAMBA</t>
  </si>
  <si>
    <t>SALAIRE AOÛT 2017 - GASTON KONAN</t>
  </si>
  <si>
    <t>VENTES AU COMPTANT DU 30/08</t>
  </si>
  <si>
    <t>VENTES AU COMPTANT DU 31/08</t>
  </si>
  <si>
    <t>MAQUIS TEMPS LIBRE - GEMACI</t>
  </si>
  <si>
    <t>REPORT AOÛT 2017</t>
  </si>
  <si>
    <t>REPARATION PNEU JIMNY</t>
  </si>
  <si>
    <t>MAINTENANCE INFORMATIQUE AOÛT 2017</t>
  </si>
  <si>
    <t>VENTES AU COMPTANT DU 04/09</t>
  </si>
  <si>
    <t>VENTES AU COMPTANT DU 05/09</t>
  </si>
  <si>
    <t>LIVRAISON YOPOUGON - UNIWAX</t>
  </si>
  <si>
    <t>VENTES AU COMPTANT DU 06/09</t>
  </si>
  <si>
    <t>AVANCE SUR COMMANDE</t>
  </si>
  <si>
    <t>LA NOUVELLE GORGE D'OR - BOCCARD</t>
  </si>
  <si>
    <t>PRÊT JUDICAËL</t>
  </si>
  <si>
    <t>VENTES AU COMPTANT DU 08/09</t>
  </si>
  <si>
    <t>FRAIS TAXI - SEMAINE DU 04/09 AU 09/09</t>
  </si>
  <si>
    <t>AVANCE SUR SALAIRE SEPTEMBRE 2017 - GASTON</t>
  </si>
  <si>
    <t>AVANCE SUR SALAIRE SEPTEMBRE 2017 - TANOH</t>
  </si>
  <si>
    <t>AVANCE SUR SALAIRE SEPTEMBRE 2017 - SEVERIN</t>
  </si>
  <si>
    <t>VENTES AU COMPTANT DU 11/09</t>
  </si>
  <si>
    <t>PRÊT SENOU BI</t>
  </si>
  <si>
    <t>VENTES AU COMPTANT DU 12/09</t>
  </si>
  <si>
    <t>VENTES AU COMPTANT DU 13/09</t>
  </si>
  <si>
    <t>VENTES AU COMPTANT DU 14/09</t>
  </si>
  <si>
    <t>AVANCE SUR SALAIRE SEPTEMBRE 2017 - JUDICAEL</t>
  </si>
  <si>
    <t>VENTES AU COMPTANT DU 15/09</t>
  </si>
  <si>
    <t>REPARATION FEU ARRIERE JIMNY</t>
  </si>
  <si>
    <t>VENTES AU COMPTANT DU 16/09</t>
  </si>
  <si>
    <t>FRAIS TAXI - SEMAINE DU 11/09 AU 16/09</t>
  </si>
  <si>
    <t>VENTES AU COMPTANT DU 18/09</t>
  </si>
  <si>
    <t>VENTES AU COMPTANT DU 19/09</t>
  </si>
  <si>
    <t>LIVRAISON PLATEAU / YOPOUGON - GeCo / UNIWAX</t>
  </si>
  <si>
    <t>VENTES AU COMPTANT DU 20/09</t>
  </si>
  <si>
    <t>AVANCE SUR SALAIRE SEPTEMBRE 2017 - PIERRE-LOUIS</t>
  </si>
  <si>
    <t>VENTES AU COMPTANT DU 21/09</t>
  </si>
  <si>
    <t>VENTES AU COMPTANT DU 22/09</t>
  </si>
  <si>
    <t>VENTES AU COMPTANT DU 23/09</t>
  </si>
  <si>
    <t>REPRODUCTION DE CLE</t>
  </si>
  <si>
    <t>PEINTURE BUREAUX + BALCON</t>
  </si>
  <si>
    <t>FRAIS TAXI - SEMAINE DU 18/09 AU 23/09</t>
  </si>
  <si>
    <t>VENTES AU COMPTANT DU 25/09</t>
  </si>
  <si>
    <t>AVANCE FLYERS - N'GORAN IRA MARIUS</t>
  </si>
  <si>
    <t>VENTES AU COMPTANT DU 26/09</t>
  </si>
  <si>
    <t>VENTES AU COMPTANT DU 27/09</t>
  </si>
  <si>
    <t>FOURNITURES - DECATHLON</t>
  </si>
  <si>
    <t>VENTES AU COMPTANT DU 28/09</t>
  </si>
  <si>
    <t>LIVRAISON M/SE - DREAM COSMETICS / SOLIBRA</t>
  </si>
  <si>
    <t>VENTES AU COMPTANT DU 29/09</t>
  </si>
  <si>
    <t>SOLDE FLYERS - N'GORAN IRA MARIUS</t>
  </si>
  <si>
    <t>SALAIRE SEPTEMBRE 2017 - GASTON KONAN</t>
  </si>
  <si>
    <t>SALAIRE SEPTEMBRE 2017 - JILUS BAMBA</t>
  </si>
  <si>
    <t>FRAIS TAXI - SEMAINE DU 25/09 AU 30/09</t>
  </si>
  <si>
    <t>REPORT SEPTEMBRE 2017</t>
  </si>
  <si>
    <t>VENTES AU COMPTANT DU 02/10</t>
  </si>
  <si>
    <t>VENTES AU COMPTANT DU 03/10</t>
  </si>
  <si>
    <t>LIVRAISON M/SE - SOLIBRA</t>
  </si>
  <si>
    <t>VENTES AU COMPTANT DU 04/10</t>
  </si>
  <si>
    <t>VENTES AU COMPTANT DU 07/10</t>
  </si>
  <si>
    <t>FRAIS TAXI - SEMAINE DU 02/10 AU 07/10</t>
  </si>
  <si>
    <t>SOLDE SALAIRE SEPTEMBRE 2017 - PIERRE-LOUIS</t>
  </si>
  <si>
    <t>VENTES AU COMPTANT DU 09/10</t>
  </si>
  <si>
    <t>VENTES AU COMPTANT DU 10/10</t>
  </si>
  <si>
    <t>VIDANGE + REPARATION KTM</t>
  </si>
  <si>
    <t>AVANCE SUR SALAIRE OCTOBRE 2017 - JUDICAEL</t>
  </si>
  <si>
    <t>VENTES AU COMPTANT DU 11/10</t>
  </si>
  <si>
    <t>VENTES AU COMPTANT DU 12/10</t>
  </si>
  <si>
    <r>
      <t xml:space="preserve">FOURNITURES - LIBRAIRIE DE </t>
    </r>
    <r>
      <rPr>
        <sz val="12"/>
        <color theme="1"/>
        <rFont val="Calibri"/>
        <family val="2"/>
        <scheme val="minor"/>
      </rPr>
      <t>France</t>
    </r>
  </si>
  <si>
    <t>VENTES AU COMPTANT DU 13/10</t>
  </si>
  <si>
    <t>VENTES AU COMPTANT DU 14/10</t>
  </si>
  <si>
    <t>FRAIS TAXI - SEMAINE DU 09/10 AU 14/10</t>
  </si>
  <si>
    <t>VENTES AU COMPTANT DU 16/10</t>
  </si>
  <si>
    <t>FOURNITURES - JUMIA</t>
  </si>
  <si>
    <t>LAVAGE KTM</t>
  </si>
  <si>
    <t>VENTES AU COMPTANT DU 17/10</t>
  </si>
  <si>
    <t>VENTES AU COMPTANT DU 18/10</t>
  </si>
  <si>
    <t>VENTES AU COMPTANT DU 19/10</t>
  </si>
  <si>
    <t>AVANCE SUR SALAIRE OCTOBRE 2017 - PIERRE-LOUIS</t>
  </si>
  <si>
    <t>CARTES DE VISITE - ERUDIT SERVICES</t>
  </si>
  <si>
    <t>FRAIS TAXI - SEMAINE DU 16/10 AU 21/10</t>
  </si>
  <si>
    <t>VENTES AU COMPTANT DU 23/10</t>
  </si>
  <si>
    <t>VENTES AU COMPTANT DU 24/10</t>
  </si>
  <si>
    <t>AVANCE SUR SALAIRE OCTOBRE 2017 - SENOU BI</t>
  </si>
  <si>
    <t>VENTES AU COMPTANT DU 25/10</t>
  </si>
  <si>
    <t>VENTES AU COMPTANT DU 26/10</t>
  </si>
  <si>
    <t>VENTES AU COMPTANT DU 27/10</t>
  </si>
  <si>
    <t>MAINTENANCE INFORMATIQUE SEPTEMBRE 2017</t>
  </si>
  <si>
    <t>FRAIS TAXI - SEMAINE DU 23/10 AU 28/10</t>
  </si>
  <si>
    <t>VENTES AU COMPTANT DU 30/10</t>
  </si>
  <si>
    <t>SALAIRE OCTOBRE 2017 - GASTON KONAN</t>
  </si>
  <si>
    <t>VENTES AU COMPTANT DU 31/10</t>
  </si>
  <si>
    <t>REPORT OCTOBRE 2017</t>
  </si>
  <si>
    <t>VENTES AU COMPTANT DU 04/11</t>
  </si>
  <si>
    <t>FRAIS TAXI - SEMAINE DU 01/11 AU 04/11</t>
  </si>
  <si>
    <t>VENTES AU COMPTANT DU 06/11</t>
  </si>
  <si>
    <t>PLAQUE KTM</t>
  </si>
  <si>
    <t>VENTES AU COMPTANT DU 07/11</t>
  </si>
  <si>
    <t>VENTES AU COMPTANT DU 08/11</t>
  </si>
  <si>
    <t>VENTES AU COMPTANT DU 09/11</t>
  </si>
  <si>
    <t>VENTES AU COMPTANT DU 10/11</t>
  </si>
  <si>
    <t>VENTES AU COMPTANT DU 11/11</t>
  </si>
  <si>
    <t>FRAIS TAXI - SEMAINE DU 06/11 AU 11/11</t>
  </si>
  <si>
    <t>VENTES AU COMPTANT DU 13/11</t>
  </si>
  <si>
    <t>SOLDE SALAIRE OCTOBRE 2017 - SENOU BI</t>
  </si>
  <si>
    <t>AVANCE - POLOS &amp; CHEMISETTES SOS</t>
  </si>
  <si>
    <t>VENTES AU COMPTANT DU 14/11</t>
  </si>
  <si>
    <t>VENTES AU COMPTANT DU 16/11</t>
  </si>
  <si>
    <t>MANUTENTION HYSTER - FABORY / E M</t>
  </si>
  <si>
    <t>VENTES AU COMPTANT DU 17/11</t>
  </si>
  <si>
    <t>FRAIS TAXI - SEMAINE DU 13/11 AU 18/11</t>
  </si>
  <si>
    <t>VENTES AU COMPTANT DU 20/11</t>
  </si>
  <si>
    <t>VENTES AU COMPTANT DU 21/11</t>
  </si>
  <si>
    <t>ENTREE PAA</t>
  </si>
  <si>
    <t>VENTES AU COMPTANT DU 22/11</t>
  </si>
  <si>
    <t>LIVRAISON M/SE - IRES</t>
  </si>
  <si>
    <t>VENTES AU COMPTANT DU 23/11</t>
  </si>
  <si>
    <t>AVANCE SUR SALAIRE NOVEMBRE 2017 - JUDICAEL</t>
  </si>
  <si>
    <t>VENTES AU COMPTANT DU 25/11</t>
  </si>
  <si>
    <t>FRAIS TAXI - SEMAINE DU 20/11 AU 25/11</t>
  </si>
  <si>
    <t>MAINTENANCE INFORMATIQUE OCTOBRE / NOVEMBRE 2017</t>
  </si>
  <si>
    <t>AVANCE SUR SALAIRE NOVEMBRE 2017 - TANOH</t>
  </si>
  <si>
    <t>VENTES AU COMPTANT DU 27/11</t>
  </si>
  <si>
    <t>VENTES AU COMPTANT DU 28/11</t>
  </si>
  <si>
    <t>VENTES AU COMPTANT DU 29/11</t>
  </si>
  <si>
    <t>VENTES AU COMPTANT DU 30/11</t>
  </si>
  <si>
    <t>FRAIS TAXI - SEMAINE DU 27/11 AU 30/11</t>
  </si>
  <si>
    <t>REPORT NOVEMBRE 2017</t>
  </si>
  <si>
    <t>VISITE TECHNIQUE JIMNY</t>
  </si>
  <si>
    <t>VENTES AU COMPTANT DU 04/12</t>
  </si>
  <si>
    <t>VENTES AU COMPTANT DU 05/12</t>
  </si>
  <si>
    <t>CARBURANT MOTO</t>
  </si>
  <si>
    <t>PLAQUE MOTO</t>
  </si>
  <si>
    <t>CADENAS MOTO</t>
  </si>
  <si>
    <t>VENTES AU COMPTANT DU 06/12</t>
  </si>
  <si>
    <t>MOOV COTE D'IVOIRE</t>
  </si>
  <si>
    <t>SOLDE - POLOS &amp; CHEMISETTES SOS</t>
  </si>
  <si>
    <t>VENTES AU COMPTANT DU 07/12</t>
  </si>
  <si>
    <t>EFME CHQ IMP 0000165</t>
  </si>
  <si>
    <t>VENTES AU COMPTANT DU 08/12</t>
  </si>
  <si>
    <t>VENTES AU COMPTANT DU 09/12</t>
  </si>
  <si>
    <t>FRAIS TAXI - SEMAINE DU 04/12 AU 09/12</t>
  </si>
  <si>
    <t>CARTE TOTAL MOTO</t>
  </si>
  <si>
    <t>VENTES AU COMPTANT DU 11/12</t>
  </si>
  <si>
    <t>LIVRAISON M/SE - UNIWAX</t>
  </si>
  <si>
    <t>VENTES AU COMPTANT DU 12/12</t>
  </si>
  <si>
    <t>VENTES AU COMPTANT DU 13/12</t>
  </si>
  <si>
    <t>AVANCE SUR SALAIRE DECEMBRE 2017 - SENOU BI</t>
  </si>
  <si>
    <t>AVANCE SUR SALAIRE DECEMBRE 2017 - JUDICAEL</t>
  </si>
  <si>
    <t>VENTES AU COMPTANT DU 14/12</t>
  </si>
  <si>
    <t>VENTES AU COMPTANT DU 15/12</t>
  </si>
  <si>
    <t>VENTES AU COMPTANT DU 16/12</t>
  </si>
  <si>
    <t>VENTES AU COMPTANT DU 18/12</t>
  </si>
  <si>
    <t>VENTES AU COMPTANT DIV FACT SIF PLAST CI</t>
  </si>
  <si>
    <t>VENTES AU COMPTANT DU 19/12</t>
  </si>
  <si>
    <t>VENTES AU COMPTANT DU 20/12</t>
  </si>
  <si>
    <t>VENTES AU COMPTANT DU 21/12</t>
  </si>
  <si>
    <t>VENTES AU COMPTANT DU 22/12</t>
  </si>
  <si>
    <t>VENTES AU COMPTANT DU 23/12</t>
  </si>
  <si>
    <t>FRAIS TAXI - SEMAINE DU 18/12 AU 23/12</t>
  </si>
  <si>
    <t>VENTES AU COMPTANT DU 26/12</t>
  </si>
  <si>
    <t>VENTES AU COMPTANT DU 28/12</t>
  </si>
  <si>
    <t>ACHAT CARTES DE RECHARGE 01/2018</t>
  </si>
  <si>
    <t>FRAIS TAXI - SEMAINE DU 25/12 AU 30/12</t>
  </si>
  <si>
    <t>SOLDE SALAIRE JANVIER 2017 - BOUDIER</t>
  </si>
  <si>
    <t>SOLDE SALAIRE FEVRIER 2017 - BOUDIER</t>
  </si>
  <si>
    <t>SOLDE SALAIRE MARS 2017 - BOUDIER</t>
  </si>
  <si>
    <t>SOLDE SALAIRE AVRIL 2017 - BOUDIER</t>
  </si>
  <si>
    <t>SOLDE SALAIRE MAI 2017 - BOUDIER</t>
  </si>
  <si>
    <t>SOLDE SALAIRE JUIN 2017 - BOUDIER</t>
  </si>
  <si>
    <t>SOLDE SALAIRE JUILLET 2017 - BOUDIER</t>
  </si>
  <si>
    <t>SOLDE SALAIRE AOUT 2017 - BOUDIER</t>
  </si>
  <si>
    <t>VENTES AU COMPTANT DU 30/12</t>
  </si>
  <si>
    <t>REMBOURSEMENT ASSURANCE SANTE - BOUDIER</t>
  </si>
</sst>
</file>

<file path=xl/styles.xml><?xml version="1.0" encoding="utf-8"?>
<styleSheet xmlns="http://schemas.openxmlformats.org/spreadsheetml/2006/main">
  <numFmts count="1">
    <numFmt numFmtId="164" formatCode="_-* #,##0\ _C_F_A_-;\-* #,##0\ _C_F_A_-;_-* &quot;-&quot;\ _C_F_A_-;_-@_-"/>
  </numFmts>
  <fonts count="5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164" fontId="0" fillId="0" borderId="4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" fontId="0" fillId="0" borderId="1" xfId="0" applyNumberFormat="1" applyBorder="1" applyAlignment="1">
      <alignment horizontal="center" vertical="center"/>
    </xf>
    <xf numFmtId="0" fontId="0" fillId="0" borderId="0" xfId="0" applyFill="1"/>
    <xf numFmtId="164" fontId="0" fillId="0" borderId="3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9"/>
  <sheetViews>
    <sheetView topLeftCell="A61" workbookViewId="0">
      <selection activeCell="F69" sqref="B2:F69"/>
    </sheetView>
  </sheetViews>
  <sheetFormatPr baseColWidth="10" defaultRowHeight="15"/>
  <cols>
    <col min="2" max="2" width="8.85546875" customWidth="1"/>
    <col min="3" max="3" width="14.42578125" customWidth="1"/>
    <col min="4" max="4" width="48.140625" customWidth="1"/>
    <col min="5" max="5" width="18.5703125" customWidth="1"/>
    <col min="6" max="6" width="14.5703125" customWidth="1"/>
    <col min="9" max="9" width="14.140625" bestFit="1" customWidth="1"/>
  </cols>
  <sheetData>
    <row r="2" spans="2:11">
      <c r="B2" s="2" t="s">
        <v>0</v>
      </c>
      <c r="C2" s="3" t="s">
        <v>1</v>
      </c>
      <c r="D2" s="2" t="s">
        <v>2</v>
      </c>
      <c r="E2" s="4" t="s">
        <v>3</v>
      </c>
      <c r="F2" s="4" t="s">
        <v>4</v>
      </c>
      <c r="G2" s="5"/>
      <c r="H2" s="5"/>
      <c r="I2" s="5"/>
    </row>
    <row r="3" spans="2:11">
      <c r="B3" s="6">
        <v>42736</v>
      </c>
      <c r="C3" s="7"/>
      <c r="D3" s="8" t="s">
        <v>43</v>
      </c>
      <c r="E3" s="9">
        <v>559957</v>
      </c>
      <c r="F3" s="9"/>
      <c r="G3" s="1"/>
      <c r="H3" s="1"/>
      <c r="I3" s="1"/>
    </row>
    <row r="4" spans="2:11" ht="15.75">
      <c r="B4" s="10">
        <v>42737</v>
      </c>
      <c r="C4" s="11">
        <v>1701001</v>
      </c>
      <c r="D4" s="16" t="s">
        <v>5</v>
      </c>
      <c r="E4" s="13"/>
      <c r="F4" s="13">
        <v>20000</v>
      </c>
      <c r="H4" s="1"/>
      <c r="I4" s="1"/>
    </row>
    <row r="5" spans="2:11" ht="15.75">
      <c r="B5" s="14">
        <v>42738</v>
      </c>
      <c r="C5" s="15">
        <v>1701002</v>
      </c>
      <c r="D5" s="16" t="s">
        <v>44</v>
      </c>
      <c r="E5" s="17">
        <f>3009+100+33350+100+8555+100+7316+100+16550+100+68706+100+32849</f>
        <v>170935</v>
      </c>
      <c r="F5" s="17"/>
      <c r="H5" s="1"/>
      <c r="I5" s="1"/>
    </row>
    <row r="6" spans="2:11" ht="15.75">
      <c r="B6" s="14">
        <v>42740</v>
      </c>
      <c r="C6" s="11">
        <v>1701003</v>
      </c>
      <c r="D6" s="12" t="s">
        <v>45</v>
      </c>
      <c r="E6" s="17"/>
      <c r="F6" s="17">
        <v>2500</v>
      </c>
      <c r="H6" s="1"/>
      <c r="I6" s="1"/>
    </row>
    <row r="7" spans="2:11" ht="15.75">
      <c r="B7" s="14">
        <v>42740</v>
      </c>
      <c r="C7" s="11">
        <v>1701004</v>
      </c>
      <c r="D7" s="16" t="s">
        <v>46</v>
      </c>
      <c r="E7" s="17">
        <f>2006+100+15547</f>
        <v>17653</v>
      </c>
      <c r="F7" s="17"/>
      <c r="H7" s="1"/>
      <c r="I7" s="1"/>
    </row>
    <row r="8" spans="2:11" ht="15.75">
      <c r="B8" s="14">
        <v>42741</v>
      </c>
      <c r="C8" s="15">
        <v>1701005</v>
      </c>
      <c r="D8" s="16" t="s">
        <v>16</v>
      </c>
      <c r="E8" s="17"/>
      <c r="F8" s="17">
        <v>2000</v>
      </c>
      <c r="H8" s="1"/>
      <c r="I8" s="1"/>
    </row>
    <row r="9" spans="2:11" ht="15.75">
      <c r="B9" s="14">
        <v>42741</v>
      </c>
      <c r="C9" s="11">
        <v>1701006</v>
      </c>
      <c r="D9" s="16" t="s">
        <v>47</v>
      </c>
      <c r="E9" s="17">
        <f>5140+2832</f>
        <v>7972</v>
      </c>
      <c r="F9" s="17"/>
      <c r="H9" s="1"/>
    </row>
    <row r="10" spans="2:11" ht="15.75">
      <c r="B10" s="14">
        <v>42742</v>
      </c>
      <c r="C10" s="11">
        <v>1701007</v>
      </c>
      <c r="D10" s="16" t="s">
        <v>48</v>
      </c>
      <c r="E10" s="17"/>
      <c r="F10" s="17">
        <v>150000</v>
      </c>
      <c r="H10" s="1"/>
      <c r="I10" s="1"/>
    </row>
    <row r="11" spans="2:11" ht="15.75">
      <c r="B11" s="14">
        <v>42742</v>
      </c>
      <c r="C11" s="15">
        <v>1701008</v>
      </c>
      <c r="D11" s="16" t="s">
        <v>50</v>
      </c>
      <c r="E11" s="17"/>
      <c r="F11" s="17">
        <v>43000</v>
      </c>
      <c r="H11" s="1"/>
      <c r="I11" s="1"/>
    </row>
    <row r="12" spans="2:11" ht="15.75">
      <c r="B12" s="14">
        <v>42742</v>
      </c>
      <c r="C12" s="11">
        <v>1701009</v>
      </c>
      <c r="D12" s="16" t="s">
        <v>49</v>
      </c>
      <c r="E12" s="17"/>
      <c r="F12" s="17">
        <v>26000</v>
      </c>
      <c r="H12" s="1"/>
    </row>
    <row r="13" spans="2:11" ht="15.75">
      <c r="B13" s="14">
        <v>42744</v>
      </c>
      <c r="C13" s="11">
        <v>1701010</v>
      </c>
      <c r="D13" s="16" t="s">
        <v>5</v>
      </c>
      <c r="E13" s="17"/>
      <c r="F13" s="17">
        <v>20000</v>
      </c>
      <c r="H13" s="1"/>
      <c r="I13" s="1"/>
    </row>
    <row r="14" spans="2:11" ht="15.75">
      <c r="B14" s="14">
        <v>42744</v>
      </c>
      <c r="C14" s="15">
        <v>1701011</v>
      </c>
      <c r="D14" s="16" t="s">
        <v>51</v>
      </c>
      <c r="E14" s="17">
        <f>100+20674</f>
        <v>20774</v>
      </c>
      <c r="F14" s="17"/>
      <c r="H14" s="1"/>
      <c r="K14" s="1"/>
    </row>
    <row r="15" spans="2:11" ht="15.75">
      <c r="B15" s="14">
        <v>42745</v>
      </c>
      <c r="C15" s="11">
        <v>1701012</v>
      </c>
      <c r="D15" s="12" t="s">
        <v>52</v>
      </c>
      <c r="E15" s="17"/>
      <c r="F15" s="17">
        <v>20000</v>
      </c>
      <c r="H15" s="1"/>
      <c r="I15" s="1"/>
    </row>
    <row r="16" spans="2:11" ht="15.75">
      <c r="B16" s="14">
        <v>42745</v>
      </c>
      <c r="C16" s="11">
        <v>1701013</v>
      </c>
      <c r="D16" s="12" t="s">
        <v>53</v>
      </c>
      <c r="E16" s="17">
        <f>3191+100+70712</f>
        <v>74003</v>
      </c>
      <c r="F16" s="17"/>
      <c r="H16" s="1"/>
      <c r="I16" s="1"/>
    </row>
    <row r="17" spans="2:9" ht="15.75">
      <c r="B17" s="14">
        <v>42746</v>
      </c>
      <c r="C17" s="15">
        <v>1701014</v>
      </c>
      <c r="D17" s="12" t="s">
        <v>54</v>
      </c>
      <c r="E17" s="17"/>
      <c r="F17" s="17">
        <v>30000</v>
      </c>
      <c r="H17" s="1"/>
      <c r="I17" s="1"/>
    </row>
    <row r="18" spans="2:9" ht="15.75">
      <c r="B18" s="14">
        <v>42746</v>
      </c>
      <c r="C18" s="11">
        <v>1701015</v>
      </c>
      <c r="D18" s="12" t="s">
        <v>8</v>
      </c>
      <c r="E18" s="17"/>
      <c r="F18" s="17">
        <v>13493</v>
      </c>
      <c r="H18" s="1"/>
      <c r="I18" s="1"/>
    </row>
    <row r="19" spans="2:9" ht="15.75">
      <c r="B19" s="14">
        <v>42746</v>
      </c>
      <c r="C19" s="11">
        <v>1701016</v>
      </c>
      <c r="D19" s="12" t="s">
        <v>8</v>
      </c>
      <c r="E19" s="17"/>
      <c r="F19" s="17">
        <v>9021</v>
      </c>
      <c r="H19" s="1"/>
      <c r="I19" s="1"/>
    </row>
    <row r="20" spans="2:9" ht="15.75">
      <c r="B20" s="14">
        <v>42746</v>
      </c>
      <c r="C20" s="15">
        <v>1701017</v>
      </c>
      <c r="D20" s="16" t="s">
        <v>55</v>
      </c>
      <c r="E20" s="17">
        <f>100+7169+100+22420</f>
        <v>29789</v>
      </c>
      <c r="F20" s="17"/>
      <c r="H20" s="1"/>
      <c r="I20" s="1"/>
    </row>
    <row r="21" spans="2:9" ht="15.75">
      <c r="B21" s="14">
        <v>42747</v>
      </c>
      <c r="C21" s="11">
        <v>1701018</v>
      </c>
      <c r="D21" s="12" t="s">
        <v>56</v>
      </c>
      <c r="E21" s="17"/>
      <c r="F21" s="17">
        <v>5000</v>
      </c>
      <c r="H21" s="1"/>
      <c r="I21" s="1"/>
    </row>
    <row r="22" spans="2:9" ht="15.75">
      <c r="B22" s="14">
        <v>42747</v>
      </c>
      <c r="C22" s="11">
        <v>1701019</v>
      </c>
      <c r="D22" s="16" t="s">
        <v>57</v>
      </c>
      <c r="E22" s="17">
        <f>100+28586+100+19583+100+13882</f>
        <v>62351</v>
      </c>
      <c r="F22" s="17"/>
      <c r="H22" s="1"/>
      <c r="I22" s="1"/>
    </row>
    <row r="23" spans="2:9" ht="15.75">
      <c r="B23" s="14">
        <v>42748</v>
      </c>
      <c r="C23" s="15">
        <v>1701020</v>
      </c>
      <c r="D23" s="16" t="s">
        <v>33</v>
      </c>
      <c r="E23" s="17"/>
      <c r="F23" s="17">
        <v>5000</v>
      </c>
      <c r="H23" s="1"/>
      <c r="I23" s="1"/>
    </row>
    <row r="24" spans="2:9" ht="15.75">
      <c r="B24" s="14">
        <v>42748</v>
      </c>
      <c r="C24" s="11">
        <v>1701021</v>
      </c>
      <c r="D24" s="16" t="s">
        <v>58</v>
      </c>
      <c r="E24" s="17"/>
      <c r="F24" s="17">
        <v>97500</v>
      </c>
      <c r="H24" s="1"/>
      <c r="I24" s="1"/>
    </row>
    <row r="25" spans="2:9" ht="15.75">
      <c r="B25" s="14">
        <v>42748</v>
      </c>
      <c r="C25" s="11">
        <v>1701022</v>
      </c>
      <c r="D25" s="16" t="s">
        <v>59</v>
      </c>
      <c r="E25" s="17">
        <f>100+11535+2808</f>
        <v>14443</v>
      </c>
      <c r="F25" s="17"/>
      <c r="H25" s="1"/>
      <c r="I25" s="1"/>
    </row>
    <row r="26" spans="2:9" ht="15.75">
      <c r="B26" s="14">
        <v>42749</v>
      </c>
      <c r="C26" s="15">
        <v>1701023</v>
      </c>
      <c r="D26" s="16" t="s">
        <v>60</v>
      </c>
      <c r="E26" s="17"/>
      <c r="F26" s="17">
        <v>15000</v>
      </c>
      <c r="H26" s="1"/>
      <c r="I26" s="1"/>
    </row>
    <row r="27" spans="2:9" ht="15.75">
      <c r="B27" s="14">
        <v>42749</v>
      </c>
      <c r="C27" s="11">
        <v>1701024</v>
      </c>
      <c r="D27" s="16" t="s">
        <v>61</v>
      </c>
      <c r="E27" s="17"/>
      <c r="F27" s="17">
        <v>208010</v>
      </c>
      <c r="H27" s="1"/>
      <c r="I27" s="1"/>
    </row>
    <row r="28" spans="2:9" ht="15.75">
      <c r="B28" s="14">
        <v>42749</v>
      </c>
      <c r="C28" s="11">
        <v>1701025</v>
      </c>
      <c r="D28" s="16" t="s">
        <v>26</v>
      </c>
      <c r="E28" s="17"/>
      <c r="F28" s="17">
        <v>5000</v>
      </c>
      <c r="H28" s="1"/>
      <c r="I28" s="1"/>
    </row>
    <row r="29" spans="2:9" ht="15.75">
      <c r="B29" s="14">
        <v>42749</v>
      </c>
      <c r="C29" s="15">
        <v>1701026</v>
      </c>
      <c r="D29" s="12" t="s">
        <v>62</v>
      </c>
      <c r="E29" s="17"/>
      <c r="F29" s="17">
        <v>11000</v>
      </c>
      <c r="H29" s="1"/>
      <c r="I29" s="1"/>
    </row>
    <row r="30" spans="2:9" ht="15.75">
      <c r="B30" s="14">
        <v>42749</v>
      </c>
      <c r="C30" s="11">
        <v>1701027</v>
      </c>
      <c r="D30" s="16" t="s">
        <v>63</v>
      </c>
      <c r="E30" s="17"/>
      <c r="F30" s="17">
        <v>26500</v>
      </c>
      <c r="H30" s="1"/>
      <c r="I30" s="1"/>
    </row>
    <row r="31" spans="2:9" ht="15.75">
      <c r="B31" s="14">
        <v>42751</v>
      </c>
      <c r="C31" s="11">
        <v>1701028</v>
      </c>
      <c r="D31" s="12" t="s">
        <v>5</v>
      </c>
      <c r="E31" s="17"/>
      <c r="F31" s="17">
        <v>19500</v>
      </c>
      <c r="H31" s="1"/>
      <c r="I31" s="1"/>
    </row>
    <row r="32" spans="2:9" ht="15.75">
      <c r="B32" s="14">
        <v>42751</v>
      </c>
      <c r="C32" s="15">
        <v>1701029</v>
      </c>
      <c r="D32" s="16" t="s">
        <v>35</v>
      </c>
      <c r="E32" s="17"/>
      <c r="F32" s="17">
        <v>30000</v>
      </c>
      <c r="H32" s="1"/>
      <c r="I32" s="1"/>
    </row>
    <row r="33" spans="2:9" ht="15.75">
      <c r="B33" s="14">
        <v>42752</v>
      </c>
      <c r="C33" s="11">
        <v>1701030</v>
      </c>
      <c r="D33" s="12" t="s">
        <v>45</v>
      </c>
      <c r="E33" s="17"/>
      <c r="F33" s="17">
        <v>2500</v>
      </c>
      <c r="H33" s="1"/>
      <c r="I33" s="1"/>
    </row>
    <row r="34" spans="2:9" ht="15.75">
      <c r="B34" s="14">
        <v>42752</v>
      </c>
      <c r="C34" s="11">
        <v>1701031</v>
      </c>
      <c r="D34" s="16" t="s">
        <v>16</v>
      </c>
      <c r="E34" s="17"/>
      <c r="F34" s="17">
        <v>2000</v>
      </c>
      <c r="H34" s="1"/>
      <c r="I34" s="1"/>
    </row>
    <row r="35" spans="2:9" ht="15.75">
      <c r="B35" s="14">
        <v>42752</v>
      </c>
      <c r="C35" s="15">
        <v>1701032</v>
      </c>
      <c r="D35" s="12" t="s">
        <v>52</v>
      </c>
      <c r="E35" s="17"/>
      <c r="F35" s="17">
        <v>10000</v>
      </c>
      <c r="H35" s="1"/>
      <c r="I35" s="1"/>
    </row>
    <row r="36" spans="2:9" ht="15.75">
      <c r="B36" s="14">
        <v>42752</v>
      </c>
      <c r="C36" s="11">
        <v>1701033</v>
      </c>
      <c r="D36" s="12" t="s">
        <v>64</v>
      </c>
      <c r="E36" s="17">
        <v>64670</v>
      </c>
      <c r="F36" s="17"/>
      <c r="H36" s="1"/>
      <c r="I36" s="1"/>
    </row>
    <row r="37" spans="2:9" ht="15.75">
      <c r="B37" s="14">
        <v>42753</v>
      </c>
      <c r="C37" s="11">
        <v>1701034</v>
      </c>
      <c r="D37" s="12" t="s">
        <v>54</v>
      </c>
      <c r="E37" s="17"/>
      <c r="F37" s="17">
        <v>35000</v>
      </c>
      <c r="I37" s="1"/>
    </row>
    <row r="38" spans="2:9" ht="15.75">
      <c r="B38" s="14">
        <v>42753</v>
      </c>
      <c r="C38" s="15">
        <v>1701035</v>
      </c>
      <c r="D38" s="12" t="s">
        <v>52</v>
      </c>
      <c r="E38" s="17"/>
      <c r="F38" s="17">
        <v>20000</v>
      </c>
      <c r="H38" s="1"/>
      <c r="I38" s="1"/>
    </row>
    <row r="39" spans="2:9" ht="15.75">
      <c r="B39" s="14">
        <v>42753</v>
      </c>
      <c r="C39" s="11">
        <v>1701036</v>
      </c>
      <c r="D39" s="16" t="s">
        <v>65</v>
      </c>
      <c r="E39" s="17">
        <f>100+34928+100+10979</f>
        <v>46107</v>
      </c>
      <c r="F39" s="17"/>
      <c r="H39" s="1"/>
      <c r="I39" s="1"/>
    </row>
    <row r="40" spans="2:9" ht="15.75">
      <c r="B40" s="14">
        <v>42754</v>
      </c>
      <c r="C40" s="11">
        <v>1701037</v>
      </c>
      <c r="D40" s="16" t="s">
        <v>66</v>
      </c>
      <c r="E40" s="17">
        <v>2950</v>
      </c>
      <c r="F40" s="17"/>
      <c r="H40" s="1"/>
      <c r="I40" s="1"/>
    </row>
    <row r="41" spans="2:9" ht="15.75">
      <c r="B41" s="14">
        <v>42755</v>
      </c>
      <c r="C41" s="15">
        <v>1701038</v>
      </c>
      <c r="D41" s="16" t="s">
        <v>5</v>
      </c>
      <c r="E41" s="17"/>
      <c r="F41" s="17">
        <v>2000</v>
      </c>
      <c r="H41" s="1"/>
      <c r="I41" s="1"/>
    </row>
    <row r="42" spans="2:9" ht="15.75">
      <c r="B42" s="14">
        <v>42755</v>
      </c>
      <c r="C42" s="11">
        <v>1701039</v>
      </c>
      <c r="D42" s="16" t="s">
        <v>67</v>
      </c>
      <c r="E42" s="17">
        <f>100+27376+100+42763</f>
        <v>70339</v>
      </c>
      <c r="F42" s="17"/>
      <c r="H42" s="1"/>
      <c r="I42" s="1"/>
    </row>
    <row r="43" spans="2:9" ht="15.75">
      <c r="B43" s="14">
        <v>42756</v>
      </c>
      <c r="C43" s="11">
        <v>1701040</v>
      </c>
      <c r="D43" s="16" t="s">
        <v>5</v>
      </c>
      <c r="E43" s="17"/>
      <c r="F43" s="17">
        <v>5000</v>
      </c>
      <c r="H43" s="1"/>
      <c r="I43" s="1"/>
    </row>
    <row r="44" spans="2:9" ht="15.75">
      <c r="B44" s="14">
        <v>42756</v>
      </c>
      <c r="C44" s="11">
        <v>1701041</v>
      </c>
      <c r="D44" s="16" t="s">
        <v>35</v>
      </c>
      <c r="E44" s="17"/>
      <c r="F44" s="17">
        <v>20000</v>
      </c>
      <c r="H44" s="1"/>
      <c r="I44" s="1"/>
    </row>
    <row r="45" spans="2:9" ht="15.75">
      <c r="B45" s="14">
        <v>42756</v>
      </c>
      <c r="C45" s="11">
        <v>1701042</v>
      </c>
      <c r="D45" s="12" t="s">
        <v>69</v>
      </c>
      <c r="E45" s="17"/>
      <c r="F45" s="17">
        <v>100000</v>
      </c>
      <c r="H45" s="1"/>
      <c r="I45" s="1"/>
    </row>
    <row r="46" spans="2:9" ht="15.75">
      <c r="B46" s="14">
        <v>42756</v>
      </c>
      <c r="C46" s="11">
        <v>1701043</v>
      </c>
      <c r="D46" s="16" t="s">
        <v>68</v>
      </c>
      <c r="E46" s="17"/>
      <c r="F46" s="17">
        <v>17500</v>
      </c>
      <c r="H46" s="1"/>
      <c r="I46" s="1"/>
    </row>
    <row r="47" spans="2:9" ht="15.75">
      <c r="B47" s="14">
        <v>42758</v>
      </c>
      <c r="C47" s="11">
        <v>1701044</v>
      </c>
      <c r="D47" s="16" t="s">
        <v>5</v>
      </c>
      <c r="E47" s="17"/>
      <c r="F47" s="17">
        <v>19000</v>
      </c>
      <c r="H47" s="1"/>
      <c r="I47" s="1"/>
    </row>
    <row r="48" spans="2:9" ht="15.75">
      <c r="B48" s="14">
        <v>42758</v>
      </c>
      <c r="C48" s="11">
        <v>1701045</v>
      </c>
      <c r="D48" s="16" t="s">
        <v>70</v>
      </c>
      <c r="E48" s="17">
        <f>100+16860</f>
        <v>16960</v>
      </c>
      <c r="F48" s="17"/>
      <c r="H48" s="1"/>
      <c r="I48" s="1"/>
    </row>
    <row r="49" spans="2:9" ht="15.75">
      <c r="B49" s="14">
        <v>42759</v>
      </c>
      <c r="C49" s="11">
        <v>1701046</v>
      </c>
      <c r="D49" s="16" t="s">
        <v>71</v>
      </c>
      <c r="E49" s="17"/>
      <c r="F49" s="17">
        <v>32096</v>
      </c>
      <c r="H49" s="1"/>
      <c r="I49" s="1"/>
    </row>
    <row r="50" spans="2:9" ht="15.75">
      <c r="B50" s="14">
        <v>42759</v>
      </c>
      <c r="C50" s="11">
        <v>1701047</v>
      </c>
      <c r="D50" s="16" t="s">
        <v>72</v>
      </c>
      <c r="E50" s="17">
        <v>800000</v>
      </c>
      <c r="F50" s="17"/>
      <c r="H50" s="1"/>
      <c r="I50" s="1"/>
    </row>
    <row r="51" spans="2:9" ht="15.75">
      <c r="B51" s="14">
        <v>42759</v>
      </c>
      <c r="C51" s="11">
        <v>1701048</v>
      </c>
      <c r="D51" s="16" t="s">
        <v>21</v>
      </c>
      <c r="E51" s="17"/>
      <c r="F51" s="17">
        <v>20364</v>
      </c>
      <c r="H51" s="1"/>
      <c r="I51" s="1"/>
    </row>
    <row r="52" spans="2:9" ht="15.75">
      <c r="B52" s="14">
        <v>42759</v>
      </c>
      <c r="C52" s="11">
        <v>1701049</v>
      </c>
      <c r="D52" s="16" t="s">
        <v>15</v>
      </c>
      <c r="E52" s="17"/>
      <c r="F52" s="17">
        <v>1500</v>
      </c>
      <c r="H52" s="1"/>
      <c r="I52" s="1"/>
    </row>
    <row r="53" spans="2:9" ht="15.75">
      <c r="B53" s="14">
        <v>42759</v>
      </c>
      <c r="C53" s="11">
        <v>1701050</v>
      </c>
      <c r="D53" s="16" t="s">
        <v>73</v>
      </c>
      <c r="E53" s="17">
        <f>100+48321+100+83485+100+57820+3410+100+64900</f>
        <v>258336</v>
      </c>
      <c r="F53" s="17"/>
      <c r="H53" s="1"/>
      <c r="I53" s="1"/>
    </row>
    <row r="54" spans="2:9" ht="15.75">
      <c r="B54" s="14">
        <v>42760</v>
      </c>
      <c r="C54" s="11">
        <v>1701051</v>
      </c>
      <c r="D54" s="16" t="s">
        <v>74</v>
      </c>
      <c r="E54" s="17">
        <f>4125+100+11735</f>
        <v>15960</v>
      </c>
      <c r="F54" s="17"/>
      <c r="H54" s="1"/>
      <c r="I54" s="1"/>
    </row>
    <row r="55" spans="2:9" ht="15.75">
      <c r="B55" s="14">
        <v>42761</v>
      </c>
      <c r="C55" s="11">
        <v>1701052</v>
      </c>
      <c r="D55" s="12" t="s">
        <v>45</v>
      </c>
      <c r="E55" s="17"/>
      <c r="F55" s="17">
        <v>2500</v>
      </c>
      <c r="H55" s="1"/>
      <c r="I55" s="1"/>
    </row>
    <row r="56" spans="2:9" ht="15.75">
      <c r="B56" s="14">
        <v>42761</v>
      </c>
      <c r="C56" s="11">
        <v>1701053</v>
      </c>
      <c r="D56" s="16" t="s">
        <v>16</v>
      </c>
      <c r="E56" s="17"/>
      <c r="F56" s="17">
        <v>2000</v>
      </c>
      <c r="I56" s="1"/>
    </row>
    <row r="57" spans="2:9" ht="15.75">
      <c r="B57" s="14">
        <v>42761</v>
      </c>
      <c r="C57" s="11">
        <v>1701054</v>
      </c>
      <c r="D57" s="16" t="s">
        <v>75</v>
      </c>
      <c r="E57" s="17">
        <f>100+55224+500+138414+100+59507</f>
        <v>253845</v>
      </c>
      <c r="F57" s="17"/>
      <c r="H57" s="1"/>
      <c r="I57" s="1"/>
    </row>
    <row r="58" spans="2:9" ht="15.75">
      <c r="B58" s="14">
        <v>42762</v>
      </c>
      <c r="C58" s="11">
        <v>1701055</v>
      </c>
      <c r="D58" s="16" t="s">
        <v>5</v>
      </c>
      <c r="E58" s="17"/>
      <c r="F58" s="17">
        <v>20000</v>
      </c>
      <c r="H58" s="1"/>
      <c r="I58" s="1"/>
    </row>
    <row r="59" spans="2:9" ht="15.75">
      <c r="B59" s="14">
        <v>42762</v>
      </c>
      <c r="C59" s="11">
        <v>1701056</v>
      </c>
      <c r="D59" s="16" t="s">
        <v>76</v>
      </c>
      <c r="E59" s="17"/>
      <c r="F59" s="17">
        <v>81182</v>
      </c>
      <c r="H59" s="1"/>
      <c r="I59" s="1"/>
    </row>
    <row r="60" spans="2:9" ht="15.75">
      <c r="B60" s="14">
        <v>42762</v>
      </c>
      <c r="C60" s="11">
        <v>1701057</v>
      </c>
      <c r="D60" s="16" t="s">
        <v>42</v>
      </c>
      <c r="E60" s="17"/>
      <c r="F60" s="17">
        <v>60000</v>
      </c>
      <c r="H60" s="1"/>
      <c r="I60" s="1"/>
    </row>
    <row r="61" spans="2:9" ht="15.75">
      <c r="B61" s="14">
        <v>42762</v>
      </c>
      <c r="C61" s="11">
        <v>1701058</v>
      </c>
      <c r="D61" s="16" t="s">
        <v>77</v>
      </c>
      <c r="E61" s="17">
        <f>3115+100+29500</f>
        <v>32715</v>
      </c>
      <c r="F61" s="17"/>
      <c r="H61" s="1"/>
      <c r="I61" s="1"/>
    </row>
    <row r="62" spans="2:9" ht="15.75">
      <c r="B62" s="14">
        <v>42763</v>
      </c>
      <c r="C62" s="11">
        <v>1701059</v>
      </c>
      <c r="D62" s="16" t="s">
        <v>78</v>
      </c>
      <c r="E62" s="17"/>
      <c r="F62" s="17">
        <v>27000</v>
      </c>
      <c r="H62" s="1"/>
      <c r="I62" s="1"/>
    </row>
    <row r="63" spans="2:9" ht="15.75">
      <c r="B63" s="14">
        <v>42765</v>
      </c>
      <c r="C63" s="11">
        <v>1701060</v>
      </c>
      <c r="D63" s="16" t="s">
        <v>19</v>
      </c>
      <c r="E63" s="17"/>
      <c r="F63" s="17">
        <v>120000</v>
      </c>
      <c r="H63" s="1"/>
      <c r="I63" s="1"/>
    </row>
    <row r="64" spans="2:9" ht="15.75">
      <c r="B64" s="14">
        <v>42765</v>
      </c>
      <c r="C64" s="11">
        <v>1701061</v>
      </c>
      <c r="D64" s="16" t="s">
        <v>79</v>
      </c>
      <c r="E64" s="17">
        <f>100+30090+3894</f>
        <v>34084</v>
      </c>
      <c r="F64" s="17"/>
      <c r="H64" s="1"/>
      <c r="I64" s="1"/>
    </row>
    <row r="65" spans="2:9" ht="15.75">
      <c r="B65" s="14">
        <v>42766</v>
      </c>
      <c r="C65" s="11">
        <v>1701062</v>
      </c>
      <c r="D65" s="16" t="s">
        <v>80</v>
      </c>
      <c r="E65" s="17">
        <f>100+10355+100+36344</f>
        <v>46899</v>
      </c>
      <c r="F65" s="17"/>
      <c r="H65" s="1"/>
      <c r="I65" s="1"/>
    </row>
    <row r="66" spans="2:9" ht="15.75">
      <c r="B66" s="14">
        <v>42766</v>
      </c>
      <c r="C66" s="11">
        <v>1701063</v>
      </c>
      <c r="D66" s="16" t="s">
        <v>81</v>
      </c>
      <c r="E66" s="17"/>
      <c r="F66" s="17">
        <v>18000</v>
      </c>
      <c r="H66" s="1"/>
      <c r="I66" s="1"/>
    </row>
    <row r="67" spans="2:9" ht="15.75">
      <c r="B67" s="18"/>
      <c r="C67" s="19"/>
      <c r="D67" s="20"/>
      <c r="E67" s="17">
        <f>SUM(E3:E66)</f>
        <v>2600742</v>
      </c>
      <c r="F67" s="17">
        <f>SUM(F3:F66)</f>
        <v>1376166</v>
      </c>
    </row>
    <row r="69" spans="2:9">
      <c r="E69" s="21" t="s">
        <v>6</v>
      </c>
      <c r="F69" s="17">
        <f>E67-F67</f>
        <v>1224576</v>
      </c>
    </row>
  </sheetData>
  <printOptions horizontalCentered="1" verticalCentered="1"/>
  <pageMargins left="0" right="0" top="0" bottom="0" header="0" footer="0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J65"/>
  <sheetViews>
    <sheetView topLeftCell="A31" workbookViewId="0">
      <selection activeCell="D38" sqref="D38"/>
    </sheetView>
  </sheetViews>
  <sheetFormatPr baseColWidth="10" defaultRowHeight="15"/>
  <cols>
    <col min="3" max="3" width="11" customWidth="1"/>
    <col min="4" max="4" width="49.28515625" bestFit="1" customWidth="1"/>
    <col min="5" max="6" width="14.140625" bestFit="1" customWidth="1"/>
  </cols>
  <sheetData>
    <row r="2" spans="2:10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10">
      <c r="B3" s="6">
        <v>43009</v>
      </c>
      <c r="C3" s="22"/>
      <c r="D3" s="8" t="s">
        <v>434</v>
      </c>
      <c r="E3" s="24">
        <f>'SEPTEMBRE 2017'!F86</f>
        <v>3129520</v>
      </c>
      <c r="F3" s="24"/>
    </row>
    <row r="4" spans="2:10" ht="15.75">
      <c r="B4" s="10">
        <v>43010</v>
      </c>
      <c r="C4" s="11">
        <v>1710001</v>
      </c>
      <c r="D4" s="16" t="s">
        <v>5</v>
      </c>
      <c r="E4" s="25"/>
      <c r="F4" s="25">
        <v>10000</v>
      </c>
    </row>
    <row r="5" spans="2:10" ht="15.75">
      <c r="B5" s="14">
        <v>43010</v>
      </c>
      <c r="C5" s="15">
        <v>1710002</v>
      </c>
      <c r="D5" s="16" t="s">
        <v>19</v>
      </c>
      <c r="E5" s="26"/>
      <c r="F5" s="26">
        <v>70000</v>
      </c>
    </row>
    <row r="6" spans="2:10" ht="15.75">
      <c r="B6" s="14">
        <v>43010</v>
      </c>
      <c r="C6" s="11">
        <v>1710003</v>
      </c>
      <c r="D6" s="12" t="s">
        <v>315</v>
      </c>
      <c r="E6" s="26"/>
      <c r="F6" s="26">
        <v>35680</v>
      </c>
    </row>
    <row r="7" spans="2:10" ht="15.75">
      <c r="B7" s="14">
        <v>43010</v>
      </c>
      <c r="C7" s="15">
        <v>1710004</v>
      </c>
      <c r="D7" s="12" t="s">
        <v>8</v>
      </c>
      <c r="E7" s="26"/>
      <c r="F7" s="26">
        <v>47420</v>
      </c>
    </row>
    <row r="8" spans="2:10" ht="15.75">
      <c r="B8" s="14">
        <v>43010</v>
      </c>
      <c r="C8" s="11">
        <v>1710005</v>
      </c>
      <c r="D8" s="16" t="s">
        <v>435</v>
      </c>
      <c r="E8" s="26">
        <f>100+10783</f>
        <v>10883</v>
      </c>
      <c r="F8" s="26"/>
    </row>
    <row r="9" spans="2:10" ht="15.75">
      <c r="B9" s="14">
        <v>43011</v>
      </c>
      <c r="C9" s="15">
        <v>1710006</v>
      </c>
      <c r="D9" s="12" t="s">
        <v>436</v>
      </c>
      <c r="E9" s="26">
        <f>100+54694</f>
        <v>54794</v>
      </c>
      <c r="F9" s="26"/>
    </row>
    <row r="10" spans="2:10" ht="15.75">
      <c r="B10" s="14">
        <v>43012</v>
      </c>
      <c r="C10" s="11">
        <v>1710007</v>
      </c>
      <c r="D10" s="12" t="s">
        <v>437</v>
      </c>
      <c r="E10" s="26"/>
      <c r="F10" s="26">
        <v>20000</v>
      </c>
    </row>
    <row r="11" spans="2:10" ht="15.75">
      <c r="B11" s="14">
        <v>43012</v>
      </c>
      <c r="C11" s="15">
        <v>1710008</v>
      </c>
      <c r="D11" s="12" t="s">
        <v>438</v>
      </c>
      <c r="E11" s="26">
        <f>100+40828+100+20650</f>
        <v>61678</v>
      </c>
      <c r="F11" s="26"/>
    </row>
    <row r="12" spans="2:10" ht="15.75">
      <c r="B12" s="14">
        <v>43013</v>
      </c>
      <c r="C12" s="11">
        <v>1710009</v>
      </c>
      <c r="D12" s="16" t="s">
        <v>343</v>
      </c>
      <c r="E12" s="26"/>
      <c r="F12" s="26">
        <v>315000</v>
      </c>
    </row>
    <row r="13" spans="2:10" ht="15.75">
      <c r="B13" s="14">
        <v>43013</v>
      </c>
      <c r="C13" s="15">
        <v>1710010</v>
      </c>
      <c r="D13" s="12" t="s">
        <v>41</v>
      </c>
      <c r="E13" s="26"/>
      <c r="F13" s="26">
        <v>2000</v>
      </c>
    </row>
    <row r="14" spans="2:10" ht="15.75">
      <c r="B14" s="14">
        <v>43014</v>
      </c>
      <c r="C14" s="11">
        <v>1710011</v>
      </c>
      <c r="D14" s="12" t="s">
        <v>255</v>
      </c>
      <c r="E14" s="26"/>
      <c r="F14" s="26">
        <v>45000</v>
      </c>
    </row>
    <row r="15" spans="2:10" ht="15.75">
      <c r="B15" s="14">
        <v>43015</v>
      </c>
      <c r="C15" s="15">
        <v>1710012</v>
      </c>
      <c r="D15" s="16" t="s">
        <v>22</v>
      </c>
      <c r="E15" s="26"/>
      <c r="F15" s="26">
        <v>165000</v>
      </c>
      <c r="I15" s="32"/>
      <c r="J15" s="32"/>
    </row>
    <row r="16" spans="2:10" ht="15.75">
      <c r="B16" s="14">
        <v>43015</v>
      </c>
      <c r="C16" s="11">
        <v>1710013</v>
      </c>
      <c r="D16" s="16" t="s">
        <v>439</v>
      </c>
      <c r="E16" s="26">
        <f>100+21063+100+61549</f>
        <v>82812</v>
      </c>
      <c r="F16" s="26"/>
    </row>
    <row r="17" spans="2:6" ht="15.75">
      <c r="B17" s="14">
        <v>43015</v>
      </c>
      <c r="C17" s="15">
        <v>1710014</v>
      </c>
      <c r="D17" s="16" t="s">
        <v>440</v>
      </c>
      <c r="E17" s="26"/>
      <c r="F17" s="26">
        <v>14000</v>
      </c>
    </row>
    <row r="18" spans="2:6" ht="15.75">
      <c r="B18" s="14">
        <v>43017</v>
      </c>
      <c r="C18" s="11">
        <v>1710015</v>
      </c>
      <c r="D18" s="12" t="s">
        <v>441</v>
      </c>
      <c r="E18" s="26"/>
      <c r="F18" s="26">
        <v>200000</v>
      </c>
    </row>
    <row r="19" spans="2:6" ht="15.75">
      <c r="B19" s="14">
        <v>43017</v>
      </c>
      <c r="C19" s="15">
        <v>1710016</v>
      </c>
      <c r="D19" s="12" t="s">
        <v>442</v>
      </c>
      <c r="E19" s="26">
        <f>100+15930+5192+3319</f>
        <v>24541</v>
      </c>
      <c r="F19" s="26"/>
    </row>
    <row r="20" spans="2:6" ht="15.75">
      <c r="B20" s="14">
        <v>43018</v>
      </c>
      <c r="C20" s="11">
        <v>1710017</v>
      </c>
      <c r="D20" s="12" t="s">
        <v>443</v>
      </c>
      <c r="E20" s="26">
        <f>100+23364+100+15399+2478+4130+2832+500+122909+100+96288</f>
        <v>268200</v>
      </c>
      <c r="F20" s="26"/>
    </row>
    <row r="21" spans="2:6" ht="15.75">
      <c r="B21" s="14">
        <v>43018</v>
      </c>
      <c r="C21" s="15">
        <v>1710018</v>
      </c>
      <c r="D21" s="12" t="s">
        <v>444</v>
      </c>
      <c r="E21" s="26"/>
      <c r="F21" s="26">
        <v>9500</v>
      </c>
    </row>
    <row r="22" spans="2:6" ht="15.75">
      <c r="B22" s="6">
        <v>43019</v>
      </c>
      <c r="C22" s="36">
        <v>1710019</v>
      </c>
      <c r="D22" s="35" t="s">
        <v>445</v>
      </c>
      <c r="E22" s="24"/>
      <c r="F22" s="24">
        <v>20000</v>
      </c>
    </row>
    <row r="23" spans="2:6" ht="15.75">
      <c r="B23" s="14">
        <v>43019</v>
      </c>
      <c r="C23" s="15">
        <v>1710020</v>
      </c>
      <c r="D23" s="16" t="s">
        <v>15</v>
      </c>
      <c r="E23" s="26"/>
      <c r="F23" s="26">
        <v>1500</v>
      </c>
    </row>
    <row r="24" spans="2:6" ht="15.75">
      <c r="B24" s="14">
        <v>43019</v>
      </c>
      <c r="C24" s="11">
        <v>1710021</v>
      </c>
      <c r="D24" s="16" t="s">
        <v>446</v>
      </c>
      <c r="E24" s="26">
        <f>100+6419</f>
        <v>6519</v>
      </c>
      <c r="F24" s="26"/>
    </row>
    <row r="25" spans="2:6" ht="15.75">
      <c r="B25" s="14">
        <v>43020</v>
      </c>
      <c r="C25" s="15">
        <v>1710022</v>
      </c>
      <c r="D25" s="12" t="s">
        <v>447</v>
      </c>
      <c r="E25" s="26">
        <f>100+26550+100+27376+100+6136+779+1888+100+20768+100+9511</f>
        <v>93508</v>
      </c>
      <c r="F25" s="26"/>
    </row>
    <row r="26" spans="2:6" ht="15.75">
      <c r="B26" s="14">
        <v>43021</v>
      </c>
      <c r="C26" s="11">
        <v>1710023</v>
      </c>
      <c r="D26" s="16" t="s">
        <v>448</v>
      </c>
      <c r="E26" s="26"/>
      <c r="F26" s="26">
        <v>20100</v>
      </c>
    </row>
    <row r="27" spans="2:6" ht="15.75">
      <c r="B27" s="14">
        <v>43021</v>
      </c>
      <c r="C27" s="15">
        <v>1710024</v>
      </c>
      <c r="D27" s="12" t="s">
        <v>449</v>
      </c>
      <c r="E27" s="26">
        <f>1614</f>
        <v>1614</v>
      </c>
      <c r="F27" s="26"/>
    </row>
    <row r="28" spans="2:6" ht="15.75">
      <c r="B28" s="14">
        <v>43022</v>
      </c>
      <c r="C28" s="11">
        <v>1710025</v>
      </c>
      <c r="D28" s="12" t="s">
        <v>450</v>
      </c>
      <c r="E28" s="26">
        <f>4337+100+30843+100+36344</f>
        <v>71724</v>
      </c>
      <c r="F28" s="26"/>
    </row>
    <row r="29" spans="2:6" ht="15.75">
      <c r="B29" s="6">
        <v>43022</v>
      </c>
      <c r="C29" s="34">
        <v>1710026</v>
      </c>
      <c r="D29" s="35" t="s">
        <v>445</v>
      </c>
      <c r="E29" s="24"/>
      <c r="F29" s="24">
        <v>20000</v>
      </c>
    </row>
    <row r="30" spans="2:6" ht="15.75">
      <c r="B30" s="14">
        <v>43022</v>
      </c>
      <c r="C30" s="11">
        <v>1710027</v>
      </c>
      <c r="D30" s="16" t="s">
        <v>451</v>
      </c>
      <c r="E30" s="26"/>
      <c r="F30" s="26">
        <v>16500</v>
      </c>
    </row>
    <row r="31" spans="2:6" ht="15.75">
      <c r="B31" s="14">
        <v>43024</v>
      </c>
      <c r="C31" s="15">
        <v>1710028</v>
      </c>
      <c r="D31" s="16" t="s">
        <v>448</v>
      </c>
      <c r="E31" s="26"/>
      <c r="F31" s="26">
        <v>20100</v>
      </c>
    </row>
    <row r="32" spans="2:6" ht="15.75">
      <c r="B32" s="14">
        <v>43024</v>
      </c>
      <c r="C32" s="11">
        <v>1710029</v>
      </c>
      <c r="D32" s="16" t="s">
        <v>19</v>
      </c>
      <c r="E32" s="26"/>
      <c r="F32" s="26">
        <v>70000</v>
      </c>
    </row>
    <row r="33" spans="2:8" ht="15.75">
      <c r="B33" s="14">
        <v>43024</v>
      </c>
      <c r="C33" s="15">
        <v>1710030</v>
      </c>
      <c r="D33" s="12" t="s">
        <v>452</v>
      </c>
      <c r="E33" s="26">
        <f>100+35106+5015+100+11682+100+9027</f>
        <v>61130</v>
      </c>
      <c r="F33" s="26"/>
    </row>
    <row r="34" spans="2:8" ht="15.75">
      <c r="B34" s="14">
        <v>43025</v>
      </c>
      <c r="C34" s="11">
        <v>1710031</v>
      </c>
      <c r="D34" s="12" t="s">
        <v>8</v>
      </c>
      <c r="E34" s="26"/>
      <c r="F34" s="26">
        <f>13944+100+3540</f>
        <v>17584</v>
      </c>
    </row>
    <row r="35" spans="2:8" ht="15.75">
      <c r="B35" s="14">
        <v>43025</v>
      </c>
      <c r="C35" s="15">
        <v>1710032</v>
      </c>
      <c r="D35" s="12" t="s">
        <v>453</v>
      </c>
      <c r="E35" s="26"/>
      <c r="F35" s="29">
        <v>51655</v>
      </c>
    </row>
    <row r="36" spans="2:8" ht="15.75">
      <c r="B36" s="14">
        <v>43025</v>
      </c>
      <c r="C36" s="11">
        <v>1710033</v>
      </c>
      <c r="D36" s="12" t="s">
        <v>454</v>
      </c>
      <c r="E36" s="26"/>
      <c r="F36" s="26">
        <v>500</v>
      </c>
    </row>
    <row r="37" spans="2:8" ht="15.75">
      <c r="B37" s="14">
        <v>43025</v>
      </c>
      <c r="C37" s="15">
        <v>1710034</v>
      </c>
      <c r="D37" s="12" t="s">
        <v>455</v>
      </c>
      <c r="E37" s="26">
        <f>100+18556+2336+2832+100+56935+100+17936+100+10450+1888+100+80240+1829</f>
        <v>193502</v>
      </c>
      <c r="F37" s="26"/>
    </row>
    <row r="38" spans="2:8" ht="15.75">
      <c r="B38" s="6">
        <v>43026</v>
      </c>
      <c r="C38" s="36">
        <v>1710035</v>
      </c>
      <c r="D38" s="37" t="s">
        <v>553</v>
      </c>
      <c r="E38" s="24">
        <v>39700</v>
      </c>
      <c r="F38" s="24"/>
      <c r="H38" s="32"/>
    </row>
    <row r="39" spans="2:8" ht="15.75">
      <c r="B39" s="14">
        <v>43026</v>
      </c>
      <c r="C39" s="15">
        <v>1710036</v>
      </c>
      <c r="D39" s="16" t="s">
        <v>456</v>
      </c>
      <c r="E39" s="26">
        <f>100+16048+500+114649+100+22066+100+45136</f>
        <v>198699</v>
      </c>
      <c r="F39" s="26"/>
    </row>
    <row r="40" spans="2:8" ht="15.75">
      <c r="B40" s="14">
        <v>43027</v>
      </c>
      <c r="C40" s="11">
        <v>1710037</v>
      </c>
      <c r="D40" s="16" t="s">
        <v>457</v>
      </c>
      <c r="E40" s="26">
        <f>100+10195+100+10006+100+15576+4531+100+62988</f>
        <v>103696</v>
      </c>
      <c r="F40" s="26"/>
    </row>
    <row r="41" spans="2:8" ht="15.75">
      <c r="B41" s="6">
        <v>43028</v>
      </c>
      <c r="C41" s="34">
        <v>1710038</v>
      </c>
      <c r="D41" s="35" t="s">
        <v>458</v>
      </c>
      <c r="E41" s="24"/>
      <c r="F41" s="24">
        <v>300000</v>
      </c>
    </row>
    <row r="42" spans="2:8" ht="15.75">
      <c r="B42" s="14">
        <v>43028</v>
      </c>
      <c r="C42" s="11">
        <v>1710039</v>
      </c>
      <c r="D42" s="16" t="s">
        <v>459</v>
      </c>
      <c r="E42" s="26"/>
      <c r="F42" s="25">
        <v>55500</v>
      </c>
    </row>
    <row r="43" spans="2:8" ht="15.75">
      <c r="B43" s="14">
        <v>43029</v>
      </c>
      <c r="C43" s="15">
        <v>1710040</v>
      </c>
      <c r="D43" s="16" t="s">
        <v>460</v>
      </c>
      <c r="E43" s="26"/>
      <c r="F43" s="25">
        <v>16000</v>
      </c>
    </row>
    <row r="44" spans="2:8" ht="15.75">
      <c r="B44" s="14">
        <v>43031</v>
      </c>
      <c r="C44" s="11">
        <v>1710041</v>
      </c>
      <c r="D44" s="12" t="s">
        <v>40</v>
      </c>
      <c r="E44" s="26"/>
      <c r="F44" s="25">
        <v>6000</v>
      </c>
    </row>
    <row r="45" spans="2:8" ht="15.75">
      <c r="B45" s="14">
        <v>43031</v>
      </c>
      <c r="C45" s="15">
        <v>1710042</v>
      </c>
      <c r="D45" s="16" t="s">
        <v>461</v>
      </c>
      <c r="E45" s="25">
        <f>2336+4838+100+24072</f>
        <v>31346</v>
      </c>
      <c r="F45" s="25"/>
    </row>
    <row r="46" spans="2:8" ht="15.75">
      <c r="B46" s="14">
        <v>43032</v>
      </c>
      <c r="C46" s="11">
        <v>1710043</v>
      </c>
      <c r="D46" s="16" t="s">
        <v>467</v>
      </c>
      <c r="E46" s="25"/>
      <c r="F46" s="25">
        <v>37500</v>
      </c>
    </row>
    <row r="47" spans="2:8" ht="15.75">
      <c r="B47" s="14">
        <v>43032</v>
      </c>
      <c r="C47" s="15">
        <v>1710044</v>
      </c>
      <c r="D47" s="16" t="s">
        <v>462</v>
      </c>
      <c r="E47" s="25">
        <f>100+10734+100+21978+100+11168</f>
        <v>44180</v>
      </c>
      <c r="F47" s="25"/>
    </row>
    <row r="48" spans="2:8" ht="15.75">
      <c r="B48" s="14">
        <v>43033</v>
      </c>
      <c r="C48" s="11">
        <v>1710045</v>
      </c>
      <c r="D48" s="16" t="s">
        <v>463</v>
      </c>
      <c r="E48" s="25"/>
      <c r="F48" s="25">
        <v>60000</v>
      </c>
    </row>
    <row r="49" spans="2:6" ht="15.75">
      <c r="B49" s="14">
        <v>43033</v>
      </c>
      <c r="C49" s="15">
        <v>1710046</v>
      </c>
      <c r="D49" s="12" t="s">
        <v>464</v>
      </c>
      <c r="E49" s="25">
        <f>4965+100+12980+100+27878</f>
        <v>46023</v>
      </c>
      <c r="F49" s="25"/>
    </row>
    <row r="50" spans="2:6" ht="15.75">
      <c r="B50" s="14">
        <v>43034</v>
      </c>
      <c r="C50" s="11">
        <v>1710047</v>
      </c>
      <c r="D50" s="12" t="s">
        <v>465</v>
      </c>
      <c r="E50" s="25">
        <f>5717</f>
        <v>5717</v>
      </c>
      <c r="F50" s="25"/>
    </row>
    <row r="51" spans="2:6" ht="15.75">
      <c r="B51" s="14">
        <v>43035</v>
      </c>
      <c r="C51" s="15">
        <v>1710048</v>
      </c>
      <c r="D51" s="12" t="s">
        <v>466</v>
      </c>
      <c r="E51" s="25">
        <f>100+43518+100+7269+100+7163+500+461522</f>
        <v>520272</v>
      </c>
      <c r="F51" s="25"/>
    </row>
    <row r="52" spans="2:6" ht="15.75">
      <c r="B52" s="14">
        <v>43035</v>
      </c>
      <c r="C52" s="11">
        <v>1710049</v>
      </c>
      <c r="D52" s="16" t="s">
        <v>41</v>
      </c>
      <c r="E52" s="25"/>
      <c r="F52" s="25">
        <v>2000</v>
      </c>
    </row>
    <row r="53" spans="2:6" ht="15.75">
      <c r="B53" s="14">
        <v>43036</v>
      </c>
      <c r="C53" s="15">
        <v>1710050</v>
      </c>
      <c r="D53" s="16" t="s">
        <v>468</v>
      </c>
      <c r="E53" s="25"/>
      <c r="F53" s="25">
        <v>14500</v>
      </c>
    </row>
    <row r="54" spans="2:6" ht="15.75">
      <c r="B54" s="14">
        <v>43038</v>
      </c>
      <c r="C54" s="11">
        <v>1710051</v>
      </c>
      <c r="D54" s="12" t="s">
        <v>283</v>
      </c>
      <c r="E54" s="25"/>
      <c r="F54" s="25">
        <v>30100</v>
      </c>
    </row>
    <row r="55" spans="2:6" ht="15.75">
      <c r="B55" s="14">
        <v>43038</v>
      </c>
      <c r="C55" s="15">
        <v>1710052</v>
      </c>
      <c r="D55" s="12" t="s">
        <v>437</v>
      </c>
      <c r="E55" s="25"/>
      <c r="F55" s="25">
        <v>20000</v>
      </c>
    </row>
    <row r="56" spans="2:6" ht="15.75">
      <c r="B56" s="14">
        <v>43038</v>
      </c>
      <c r="C56" s="11">
        <v>1710053</v>
      </c>
      <c r="D56" s="12" t="s">
        <v>16</v>
      </c>
      <c r="E56" s="25"/>
      <c r="F56" s="25">
        <v>2000</v>
      </c>
    </row>
    <row r="57" spans="2:6" ht="15.75">
      <c r="B57" s="14">
        <v>43038</v>
      </c>
      <c r="C57" s="15">
        <v>1710054</v>
      </c>
      <c r="D57" s="12" t="s">
        <v>469</v>
      </c>
      <c r="E57" s="25">
        <f>2908+100+11257</f>
        <v>14265</v>
      </c>
      <c r="F57" s="25"/>
    </row>
    <row r="58" spans="2:6" ht="15.75">
      <c r="B58" s="14">
        <v>43039</v>
      </c>
      <c r="C58" s="11">
        <v>1710055</v>
      </c>
      <c r="D58" s="12" t="s">
        <v>19</v>
      </c>
      <c r="E58" s="25"/>
      <c r="F58" s="25">
        <v>70000</v>
      </c>
    </row>
    <row r="59" spans="2:6" ht="15.75">
      <c r="B59" s="14">
        <v>43039</v>
      </c>
      <c r="C59" s="15">
        <v>1710056</v>
      </c>
      <c r="D59" s="12" t="s">
        <v>17</v>
      </c>
      <c r="E59" s="25"/>
      <c r="F59" s="25">
        <v>2253</v>
      </c>
    </row>
    <row r="60" spans="2:6" ht="15.75">
      <c r="B60" s="14">
        <v>43039</v>
      </c>
      <c r="C60" s="11">
        <v>1710057</v>
      </c>
      <c r="D60" s="12" t="s">
        <v>27</v>
      </c>
      <c r="E60" s="25"/>
      <c r="F60" s="25">
        <v>5200</v>
      </c>
    </row>
    <row r="61" spans="2:6" ht="15.75">
      <c r="B61" s="14">
        <v>43039</v>
      </c>
      <c r="C61" s="15">
        <v>1710058</v>
      </c>
      <c r="D61" s="12" t="s">
        <v>470</v>
      </c>
      <c r="E61" s="25"/>
      <c r="F61" s="25">
        <v>80500</v>
      </c>
    </row>
    <row r="62" spans="2:6" ht="15.75">
      <c r="B62" s="14">
        <v>43039</v>
      </c>
      <c r="C62" s="11">
        <v>1710059</v>
      </c>
      <c r="D62" s="12" t="s">
        <v>471</v>
      </c>
      <c r="E62" s="25">
        <f>100+76464</f>
        <v>76564</v>
      </c>
      <c r="F62" s="25"/>
    </row>
    <row r="63" spans="2:6" ht="15.75">
      <c r="B63" s="18"/>
      <c r="C63" s="19"/>
      <c r="D63" s="20"/>
      <c r="E63" s="25">
        <f>SUM(E3:E62)</f>
        <v>5140887</v>
      </c>
      <c r="F63" s="25">
        <f>SUM(F3:F62)</f>
        <v>1873092</v>
      </c>
    </row>
    <row r="64" spans="2:6">
      <c r="B64" s="5"/>
      <c r="C64" s="27"/>
    </row>
    <row r="65" spans="2:6">
      <c r="B65" s="5"/>
      <c r="C65" s="27"/>
      <c r="E65" s="21" t="s">
        <v>6</v>
      </c>
      <c r="F65" s="17">
        <f>E63-F63</f>
        <v>3267795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59"/>
  <sheetViews>
    <sheetView topLeftCell="A37" workbookViewId="0">
      <selection activeCell="B2" sqref="B2:F59"/>
    </sheetView>
  </sheetViews>
  <sheetFormatPr baseColWidth="10" defaultRowHeight="15"/>
  <cols>
    <col min="3" max="3" width="12" customWidth="1"/>
    <col min="4" max="4" width="54.7109375" bestFit="1" customWidth="1"/>
    <col min="5" max="6" width="14.140625" bestFit="1" customWidth="1"/>
  </cols>
  <sheetData>
    <row r="2" spans="2:8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8">
      <c r="B3" s="6">
        <v>43040</v>
      </c>
      <c r="C3" s="22"/>
      <c r="D3" s="8" t="s">
        <v>472</v>
      </c>
      <c r="E3" s="24">
        <f>'OCTOBRE 2017'!F65</f>
        <v>3267795</v>
      </c>
      <c r="F3" s="24"/>
    </row>
    <row r="4" spans="2:8" ht="15.75">
      <c r="B4" s="10">
        <v>43041</v>
      </c>
      <c r="C4" s="11">
        <v>1711001</v>
      </c>
      <c r="D4" s="12" t="s">
        <v>36</v>
      </c>
      <c r="E4" s="25">
        <f>2360</f>
        <v>2360</v>
      </c>
      <c r="F4" s="25"/>
    </row>
    <row r="5" spans="2:8" ht="15.75">
      <c r="B5" s="14">
        <v>43042</v>
      </c>
      <c r="C5" s="15">
        <v>1711002</v>
      </c>
      <c r="D5" s="12" t="s">
        <v>37</v>
      </c>
      <c r="E5" s="26">
        <f>5192+100+7599+100+18054+100+73821</f>
        <v>104966</v>
      </c>
      <c r="F5" s="26"/>
    </row>
    <row r="6" spans="2:8" ht="15.75">
      <c r="B6" s="14">
        <v>43043</v>
      </c>
      <c r="C6" s="11">
        <v>1711003</v>
      </c>
      <c r="D6" t="s">
        <v>473</v>
      </c>
      <c r="E6" s="26">
        <f>100+15576</f>
        <v>15676</v>
      </c>
      <c r="F6" s="26"/>
    </row>
    <row r="7" spans="2:8" ht="15.75">
      <c r="B7" s="14">
        <v>43043</v>
      </c>
      <c r="C7" s="15">
        <v>1711004</v>
      </c>
      <c r="D7" s="16" t="s">
        <v>474</v>
      </c>
      <c r="E7" s="26"/>
      <c r="F7" s="26">
        <v>14000</v>
      </c>
      <c r="H7" s="32"/>
    </row>
    <row r="8" spans="2:8" ht="15.75">
      <c r="B8" s="14">
        <v>43045</v>
      </c>
      <c r="C8" s="11">
        <v>1711005</v>
      </c>
      <c r="D8" s="16" t="s">
        <v>122</v>
      </c>
      <c r="E8" s="26"/>
      <c r="F8" s="26">
        <v>500</v>
      </c>
    </row>
    <row r="9" spans="2:8" ht="15.75">
      <c r="B9" s="14">
        <v>43045</v>
      </c>
      <c r="C9" s="15">
        <v>1711006</v>
      </c>
      <c r="D9" s="12" t="s">
        <v>437</v>
      </c>
      <c r="E9" s="26"/>
      <c r="F9" s="26">
        <v>15000</v>
      </c>
    </row>
    <row r="10" spans="2:8" ht="15.75">
      <c r="B10" s="14">
        <v>43045</v>
      </c>
      <c r="C10" s="11">
        <v>1711007</v>
      </c>
      <c r="D10" s="12" t="s">
        <v>475</v>
      </c>
      <c r="E10" s="26">
        <f>100+12266+100+6620+1935</f>
        <v>21021</v>
      </c>
      <c r="F10" s="26"/>
    </row>
    <row r="11" spans="2:8" ht="15.75">
      <c r="B11" s="14">
        <v>43046</v>
      </c>
      <c r="C11" s="15">
        <v>1711008</v>
      </c>
      <c r="D11" s="16" t="s">
        <v>45</v>
      </c>
      <c r="E11" s="26"/>
      <c r="F11" s="26">
        <v>2500</v>
      </c>
    </row>
    <row r="12" spans="2:8" ht="15.75">
      <c r="B12" s="14">
        <v>43046</v>
      </c>
      <c r="C12" s="11">
        <v>1711009</v>
      </c>
      <c r="D12" s="16" t="s">
        <v>476</v>
      </c>
      <c r="E12" s="26"/>
      <c r="F12" s="26">
        <v>5000</v>
      </c>
    </row>
    <row r="13" spans="2:8" ht="15.75">
      <c r="B13" s="14">
        <v>43046</v>
      </c>
      <c r="C13" s="15">
        <v>1711010</v>
      </c>
      <c r="D13" s="12" t="s">
        <v>9</v>
      </c>
      <c r="E13" s="26"/>
      <c r="F13" s="26">
        <v>78182</v>
      </c>
    </row>
    <row r="14" spans="2:8" ht="15.75">
      <c r="B14" s="14">
        <v>43046</v>
      </c>
      <c r="C14" s="11">
        <v>1711011</v>
      </c>
      <c r="D14" s="12" t="s">
        <v>477</v>
      </c>
      <c r="E14" s="26">
        <f>100+19258+3009+100+71163+500+273382+100+9516</f>
        <v>377128</v>
      </c>
      <c r="F14" s="26"/>
    </row>
    <row r="15" spans="2:8" ht="15.75">
      <c r="B15" s="14">
        <v>43047</v>
      </c>
      <c r="C15" s="15">
        <v>1711012</v>
      </c>
      <c r="D15" s="16" t="s">
        <v>454</v>
      </c>
      <c r="E15" s="26"/>
      <c r="F15" s="26">
        <v>500</v>
      </c>
    </row>
    <row r="16" spans="2:8" ht="15.75">
      <c r="B16" s="14">
        <v>43047</v>
      </c>
      <c r="C16" s="11">
        <v>1711013</v>
      </c>
      <c r="D16" s="12" t="s">
        <v>478</v>
      </c>
      <c r="E16" s="26">
        <f>100+34781+5894+100+7222+5639</f>
        <v>53736</v>
      </c>
      <c r="F16" s="26"/>
    </row>
    <row r="17" spans="2:8" ht="15.75">
      <c r="B17" s="14">
        <v>43048</v>
      </c>
      <c r="C17" s="15">
        <v>1711014</v>
      </c>
      <c r="D17" s="12" t="s">
        <v>479</v>
      </c>
      <c r="E17" s="26">
        <f>4130+100+12914+100+13063</f>
        <v>30307</v>
      </c>
      <c r="F17" s="26"/>
    </row>
    <row r="18" spans="2:8" ht="15.75">
      <c r="B18" s="14">
        <v>43049</v>
      </c>
      <c r="C18" s="11">
        <v>1711015</v>
      </c>
      <c r="D18" s="12" t="s">
        <v>480</v>
      </c>
      <c r="E18" s="26">
        <f>100+44785+100+18880+100+35105+100+13452+100+6053</f>
        <v>118775</v>
      </c>
      <c r="F18" s="26"/>
    </row>
    <row r="19" spans="2:8" ht="15.75">
      <c r="B19" s="14">
        <v>43050</v>
      </c>
      <c r="C19" s="15">
        <v>1711016</v>
      </c>
      <c r="D19" s="12" t="s">
        <v>9</v>
      </c>
      <c r="E19" s="26"/>
      <c r="F19" s="26">
        <v>42550</v>
      </c>
    </row>
    <row r="20" spans="2:8" ht="15.75">
      <c r="B20" s="14">
        <v>43050</v>
      </c>
      <c r="C20" s="11">
        <v>1711017</v>
      </c>
      <c r="D20" s="12" t="s">
        <v>481</v>
      </c>
      <c r="E20" s="26">
        <f>500+130390+100+9888</f>
        <v>140878</v>
      </c>
      <c r="F20" s="26"/>
    </row>
    <row r="21" spans="2:8" ht="15.75">
      <c r="B21" s="14">
        <v>43050</v>
      </c>
      <c r="C21" s="15">
        <v>1711018</v>
      </c>
      <c r="D21" s="16" t="s">
        <v>482</v>
      </c>
      <c r="E21" s="26"/>
      <c r="F21" s="26">
        <v>9000</v>
      </c>
    </row>
    <row r="22" spans="2:8" ht="15.75">
      <c r="B22" s="6">
        <v>43052</v>
      </c>
      <c r="C22" s="36">
        <v>1711019</v>
      </c>
      <c r="D22" s="37" t="s">
        <v>553</v>
      </c>
      <c r="E22" s="24">
        <v>39700</v>
      </c>
      <c r="F22" s="24"/>
      <c r="H22" s="32"/>
    </row>
    <row r="23" spans="2:8" ht="15.75">
      <c r="B23" s="14">
        <v>43052</v>
      </c>
      <c r="C23" s="15">
        <v>1711020</v>
      </c>
      <c r="D23" s="12" t="s">
        <v>483</v>
      </c>
      <c r="E23" s="26">
        <f>100+7328</f>
        <v>7428</v>
      </c>
      <c r="F23" s="26"/>
    </row>
    <row r="24" spans="2:8" ht="15.75">
      <c r="B24" s="14">
        <v>43052</v>
      </c>
      <c r="C24" s="11">
        <v>1711021</v>
      </c>
      <c r="D24" s="12" t="s">
        <v>484</v>
      </c>
      <c r="E24" s="26"/>
      <c r="F24" s="26">
        <v>37979</v>
      </c>
    </row>
    <row r="25" spans="2:8" ht="15.75">
      <c r="B25" s="14">
        <v>43052</v>
      </c>
      <c r="C25" s="15">
        <v>1711022</v>
      </c>
      <c r="D25" s="12" t="s">
        <v>485</v>
      </c>
      <c r="E25" s="26"/>
      <c r="F25" s="26">
        <v>60000</v>
      </c>
    </row>
    <row r="26" spans="2:8" ht="15.75">
      <c r="B26" s="14">
        <v>43052</v>
      </c>
      <c r="C26" s="11">
        <v>1711023</v>
      </c>
      <c r="D26" s="16" t="s">
        <v>8</v>
      </c>
      <c r="E26" s="26"/>
      <c r="F26" s="26">
        <v>23199</v>
      </c>
    </row>
    <row r="27" spans="2:8" ht="15.75">
      <c r="B27" s="14">
        <v>43052</v>
      </c>
      <c r="C27" s="15">
        <v>1711024</v>
      </c>
      <c r="D27" s="12" t="s">
        <v>459</v>
      </c>
      <c r="E27" s="26"/>
      <c r="F27" s="26">
        <v>43750</v>
      </c>
    </row>
    <row r="28" spans="2:8" ht="15.75">
      <c r="B28" s="14">
        <v>43053</v>
      </c>
      <c r="C28" s="11">
        <v>1711025</v>
      </c>
      <c r="D28" s="12" t="s">
        <v>315</v>
      </c>
      <c r="E28" s="26"/>
      <c r="F28" s="26">
        <v>44735</v>
      </c>
    </row>
    <row r="29" spans="2:8" ht="15.75">
      <c r="B29" s="14">
        <v>43053</v>
      </c>
      <c r="C29" s="15">
        <v>1711026</v>
      </c>
      <c r="D29" s="12" t="s">
        <v>486</v>
      </c>
      <c r="E29" s="26">
        <f>1888+100+33335+100+47842</f>
        <v>83265</v>
      </c>
      <c r="F29" s="26"/>
    </row>
    <row r="30" spans="2:8" ht="15.75">
      <c r="B30" s="14">
        <v>43055</v>
      </c>
      <c r="C30" s="11">
        <v>1711027</v>
      </c>
      <c r="D30" s="12" t="s">
        <v>487</v>
      </c>
      <c r="E30" s="26">
        <f>100+11989+100+12989+100+10620</f>
        <v>35898</v>
      </c>
      <c r="F30" s="26"/>
    </row>
    <row r="31" spans="2:8" ht="15.75">
      <c r="B31" s="14">
        <v>43056</v>
      </c>
      <c r="C31" s="15">
        <v>1711028</v>
      </c>
      <c r="D31" s="12" t="s">
        <v>19</v>
      </c>
      <c r="E31" s="26"/>
      <c r="F31" s="26">
        <v>60000</v>
      </c>
    </row>
    <row r="32" spans="2:8" ht="15.75">
      <c r="B32" s="14">
        <v>43056</v>
      </c>
      <c r="C32" s="11">
        <v>1711029</v>
      </c>
      <c r="D32" s="12" t="s">
        <v>488</v>
      </c>
      <c r="E32" s="26"/>
      <c r="F32" s="26">
        <v>30000</v>
      </c>
    </row>
    <row r="33" spans="2:6" ht="15.75">
      <c r="B33" s="14">
        <v>43056</v>
      </c>
      <c r="C33" s="15">
        <v>1711030</v>
      </c>
      <c r="D33" s="12" t="s">
        <v>489</v>
      </c>
      <c r="E33" s="26">
        <f>100+11045+100+10758+1652</f>
        <v>23655</v>
      </c>
      <c r="F33" s="26"/>
    </row>
    <row r="34" spans="2:6" ht="15.75">
      <c r="B34" s="14">
        <v>43057</v>
      </c>
      <c r="C34" s="11">
        <v>1711031</v>
      </c>
      <c r="D34" s="16" t="s">
        <v>490</v>
      </c>
      <c r="E34" s="26"/>
      <c r="F34" s="26">
        <v>8500</v>
      </c>
    </row>
    <row r="35" spans="2:6" ht="15.75">
      <c r="B35" s="14">
        <v>43059</v>
      </c>
      <c r="C35" s="15">
        <v>1711032</v>
      </c>
      <c r="D35" s="12" t="s">
        <v>491</v>
      </c>
      <c r="E35" s="26">
        <f>100+9912+100+15923</f>
        <v>26035</v>
      </c>
      <c r="F35" s="29"/>
    </row>
    <row r="36" spans="2:6" ht="15.75">
      <c r="B36" s="14">
        <v>43060</v>
      </c>
      <c r="C36" s="11">
        <v>1711033</v>
      </c>
      <c r="D36" s="12" t="s">
        <v>492</v>
      </c>
      <c r="E36" s="26">
        <f>2832+100+29368+100+49088+100+10620+500+204022+100+45135</f>
        <v>341965</v>
      </c>
      <c r="F36" s="24"/>
    </row>
    <row r="37" spans="2:6" ht="15.75">
      <c r="B37" s="14">
        <v>43061</v>
      </c>
      <c r="C37" s="15">
        <v>1711034</v>
      </c>
      <c r="D37" s="12" t="s">
        <v>493</v>
      </c>
      <c r="E37" s="26"/>
      <c r="F37" s="24">
        <v>10000</v>
      </c>
    </row>
    <row r="38" spans="2:6" ht="15.75">
      <c r="B38" s="14">
        <v>43061</v>
      </c>
      <c r="C38" s="11">
        <v>1711035</v>
      </c>
      <c r="D38" s="16" t="s">
        <v>494</v>
      </c>
      <c r="E38" s="26">
        <f>100+7675+2550</f>
        <v>10325</v>
      </c>
      <c r="F38" s="24"/>
    </row>
    <row r="39" spans="2:6" ht="15.75">
      <c r="B39" s="14">
        <v>43062</v>
      </c>
      <c r="C39" s="15">
        <v>1711036</v>
      </c>
      <c r="D39" s="12" t="s">
        <v>495</v>
      </c>
      <c r="E39" s="26"/>
      <c r="F39" s="24">
        <v>30000</v>
      </c>
    </row>
    <row r="40" spans="2:6" ht="15.75">
      <c r="B40" s="14">
        <v>43062</v>
      </c>
      <c r="C40" s="11">
        <v>1711037</v>
      </c>
      <c r="D40" s="16" t="s">
        <v>5</v>
      </c>
      <c r="E40" s="26"/>
      <c r="F40" s="24">
        <v>5000</v>
      </c>
    </row>
    <row r="41" spans="2:6" ht="15.75">
      <c r="B41" s="14">
        <v>43062</v>
      </c>
      <c r="C41" s="15">
        <v>1711038</v>
      </c>
      <c r="D41" s="12" t="s">
        <v>496</v>
      </c>
      <c r="E41" s="26">
        <f>4425</f>
        <v>4425</v>
      </c>
      <c r="F41" s="26"/>
    </row>
    <row r="42" spans="2:6" ht="15.75">
      <c r="B42" s="14">
        <v>43063</v>
      </c>
      <c r="C42" s="11">
        <v>1711039</v>
      </c>
      <c r="D42" s="16" t="s">
        <v>5</v>
      </c>
      <c r="E42" s="26"/>
      <c r="F42" s="25">
        <v>10000</v>
      </c>
    </row>
    <row r="43" spans="2:6" ht="15.75">
      <c r="B43" s="14">
        <v>43063</v>
      </c>
      <c r="C43" s="15">
        <v>1711040</v>
      </c>
      <c r="D43" s="12" t="s">
        <v>45</v>
      </c>
      <c r="E43" s="26"/>
      <c r="F43" s="25">
        <v>2500</v>
      </c>
    </row>
    <row r="44" spans="2:6" ht="15.75">
      <c r="B44" s="14">
        <v>43063</v>
      </c>
      <c r="C44" s="11">
        <v>1711041</v>
      </c>
      <c r="D44" s="35" t="s">
        <v>497</v>
      </c>
      <c r="E44" s="26"/>
      <c r="F44" s="25">
        <v>45000</v>
      </c>
    </row>
    <row r="45" spans="2:6" ht="15.75">
      <c r="B45" s="14">
        <v>43064</v>
      </c>
      <c r="C45" s="15">
        <v>1711042</v>
      </c>
      <c r="D45" s="16" t="s">
        <v>498</v>
      </c>
      <c r="E45" s="25">
        <f>100+18408+100+8024</f>
        <v>26632</v>
      </c>
      <c r="F45" s="25"/>
    </row>
    <row r="46" spans="2:6" ht="15.75">
      <c r="B46" s="14">
        <v>43064</v>
      </c>
      <c r="C46" s="11">
        <v>1711043</v>
      </c>
      <c r="D46" s="16" t="s">
        <v>500</v>
      </c>
      <c r="E46" s="25"/>
      <c r="F46" s="25">
        <v>73125</v>
      </c>
    </row>
    <row r="47" spans="2:6" ht="15.75">
      <c r="B47" s="14">
        <v>43064</v>
      </c>
      <c r="C47" s="15">
        <v>1711044</v>
      </c>
      <c r="D47" s="16" t="s">
        <v>499</v>
      </c>
      <c r="E47" s="25"/>
      <c r="F47" s="25">
        <v>16000</v>
      </c>
    </row>
    <row r="48" spans="2:6" ht="15.75">
      <c r="B48" s="14">
        <v>43066</v>
      </c>
      <c r="C48" s="11">
        <v>1711045</v>
      </c>
      <c r="D48" s="16" t="s">
        <v>5</v>
      </c>
      <c r="E48" s="25"/>
      <c r="F48" s="25">
        <v>5000</v>
      </c>
    </row>
    <row r="49" spans="2:6" ht="15.75">
      <c r="B49" s="14">
        <v>43066</v>
      </c>
      <c r="C49" s="15">
        <v>1711046</v>
      </c>
      <c r="D49" s="35" t="s">
        <v>501</v>
      </c>
      <c r="E49" s="25"/>
      <c r="F49" s="25">
        <v>50000</v>
      </c>
    </row>
    <row r="50" spans="2:6" ht="15.75">
      <c r="B50" s="14">
        <v>43066</v>
      </c>
      <c r="C50" s="11">
        <v>1711047</v>
      </c>
      <c r="D50" s="12" t="s">
        <v>502</v>
      </c>
      <c r="E50" s="25">
        <f>100+7851+100+23621+100+25790+100+16142</f>
        <v>73804</v>
      </c>
      <c r="F50" s="25"/>
    </row>
    <row r="51" spans="2:6" ht="15.75">
      <c r="B51" s="14">
        <v>43067</v>
      </c>
      <c r="C51" s="15">
        <v>1711048</v>
      </c>
      <c r="D51" s="12" t="s">
        <v>503</v>
      </c>
      <c r="E51" s="25">
        <f>2950+2360+100+83119</f>
        <v>88529</v>
      </c>
      <c r="F51" s="25"/>
    </row>
    <row r="52" spans="2:6" ht="15.75">
      <c r="B52" s="14">
        <v>43068</v>
      </c>
      <c r="C52" s="11">
        <v>1711049</v>
      </c>
      <c r="D52" s="16" t="s">
        <v>5</v>
      </c>
      <c r="E52" s="25"/>
      <c r="F52" s="25">
        <v>5000</v>
      </c>
    </row>
    <row r="53" spans="2:6" ht="15.75">
      <c r="B53" s="14">
        <v>43068</v>
      </c>
      <c r="C53" s="15">
        <v>1711050</v>
      </c>
      <c r="D53" s="12" t="s">
        <v>27</v>
      </c>
      <c r="E53" s="25"/>
      <c r="F53" s="25">
        <v>5900</v>
      </c>
    </row>
    <row r="54" spans="2:6" ht="15.75">
      <c r="B54" s="14">
        <v>43068</v>
      </c>
      <c r="C54" s="11">
        <v>1711051</v>
      </c>
      <c r="D54" s="16" t="s">
        <v>504</v>
      </c>
      <c r="E54" s="25">
        <f>100+25441+100+39901+4106</f>
        <v>69648</v>
      </c>
      <c r="F54" s="25"/>
    </row>
    <row r="55" spans="2:6" ht="15.75">
      <c r="B55" s="14">
        <v>43069</v>
      </c>
      <c r="C55" s="15">
        <v>1711052</v>
      </c>
      <c r="D55" s="12" t="s">
        <v>505</v>
      </c>
      <c r="E55" s="25">
        <f>100+20495+100+45312+100+65726+100+8944+100+56871</f>
        <v>197848</v>
      </c>
      <c r="F55" s="25"/>
    </row>
    <row r="56" spans="2:6" ht="15.75">
      <c r="B56" s="14">
        <v>43069</v>
      </c>
      <c r="C56" s="11">
        <v>1711053</v>
      </c>
      <c r="D56" s="16" t="s">
        <v>506</v>
      </c>
      <c r="E56" s="25"/>
      <c r="F56" s="25">
        <v>11500</v>
      </c>
    </row>
    <row r="57" spans="2:6" ht="15.75">
      <c r="B57" s="18"/>
      <c r="C57" s="19"/>
      <c r="D57" s="20"/>
      <c r="E57" s="25">
        <f>SUM(E3:E56)</f>
        <v>5161799</v>
      </c>
      <c r="F57" s="25">
        <f>SUM(F3:F56)</f>
        <v>744420</v>
      </c>
    </row>
    <row r="58" spans="2:6">
      <c r="B58" s="5"/>
      <c r="C58" s="27"/>
    </row>
    <row r="59" spans="2:6">
      <c r="B59" s="5"/>
      <c r="C59" s="27"/>
      <c r="E59" s="21" t="s">
        <v>6</v>
      </c>
      <c r="F59" s="17">
        <f>E57-F57</f>
        <v>4417379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58"/>
  <sheetViews>
    <sheetView tabSelected="1" topLeftCell="A36" workbookViewId="0">
      <selection activeCell="B2" sqref="B2:F58"/>
    </sheetView>
  </sheetViews>
  <sheetFormatPr baseColWidth="10" defaultRowHeight="15"/>
  <cols>
    <col min="3" max="3" width="12.42578125" customWidth="1"/>
    <col min="4" max="4" width="49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42705</v>
      </c>
      <c r="C3" s="22"/>
      <c r="D3" s="8" t="s">
        <v>507</v>
      </c>
      <c r="E3" s="24">
        <f>'NOVEMBRE 2017'!F59</f>
        <v>4417379</v>
      </c>
      <c r="F3" s="24"/>
    </row>
    <row r="4" spans="2:6" ht="15.75">
      <c r="B4" s="10">
        <v>43070</v>
      </c>
      <c r="C4" s="11">
        <v>1712001</v>
      </c>
      <c r="D4" s="12" t="s">
        <v>5</v>
      </c>
      <c r="E4" s="25"/>
      <c r="F4" s="25">
        <v>10000</v>
      </c>
    </row>
    <row r="5" spans="2:6" ht="15.75">
      <c r="B5" s="14">
        <v>43073</v>
      </c>
      <c r="C5" s="15">
        <v>1712002</v>
      </c>
      <c r="D5" s="12" t="s">
        <v>508</v>
      </c>
      <c r="E5" s="26"/>
      <c r="F5" s="26">
        <v>70100</v>
      </c>
    </row>
    <row r="6" spans="2:6" ht="15.75">
      <c r="B6" s="14">
        <v>43073</v>
      </c>
      <c r="C6" s="11">
        <v>1712003</v>
      </c>
      <c r="D6" s="12" t="s">
        <v>509</v>
      </c>
      <c r="E6" s="26">
        <f>100+17417+5310+100+8777+100+7316+4720+100+8199</f>
        <v>52139</v>
      </c>
      <c r="F6" s="26"/>
    </row>
    <row r="7" spans="2:6" ht="15.75">
      <c r="B7" s="14">
        <v>43074</v>
      </c>
      <c r="C7" s="15">
        <v>1712004</v>
      </c>
      <c r="D7" s="12" t="s">
        <v>19</v>
      </c>
      <c r="E7" s="26"/>
      <c r="F7" s="26">
        <v>60000</v>
      </c>
    </row>
    <row r="8" spans="2:6" ht="15.75">
      <c r="B8" s="14">
        <v>43074</v>
      </c>
      <c r="C8" s="11">
        <v>1712005</v>
      </c>
      <c r="D8" s="12" t="s">
        <v>510</v>
      </c>
      <c r="E8" s="26">
        <f>100+8000+100+75044+100+6240+500+198240+500+149558+100+20768</f>
        <v>459250</v>
      </c>
      <c r="F8" s="26"/>
    </row>
    <row r="9" spans="2:6" ht="15.75">
      <c r="B9" s="14">
        <v>43075</v>
      </c>
      <c r="C9" s="15">
        <v>1712006</v>
      </c>
      <c r="D9" s="12" t="s">
        <v>511</v>
      </c>
      <c r="E9" s="26"/>
      <c r="F9" s="26">
        <v>3000</v>
      </c>
    </row>
    <row r="10" spans="2:6" ht="15.75">
      <c r="B10" s="14">
        <v>43075</v>
      </c>
      <c r="C10" s="11">
        <v>1712007</v>
      </c>
      <c r="D10" s="12" t="s">
        <v>512</v>
      </c>
      <c r="E10" s="26"/>
      <c r="F10" s="26">
        <v>5000</v>
      </c>
    </row>
    <row r="11" spans="2:6" ht="15.75">
      <c r="B11" s="14">
        <v>43075</v>
      </c>
      <c r="C11" s="15">
        <v>1712008</v>
      </c>
      <c r="D11" s="16" t="s">
        <v>513</v>
      </c>
      <c r="E11" s="26"/>
      <c r="F11" s="26">
        <v>5000</v>
      </c>
    </row>
    <row r="12" spans="2:6" ht="15.75">
      <c r="B12" s="14">
        <v>43075</v>
      </c>
      <c r="C12" s="11">
        <v>1712009</v>
      </c>
      <c r="D12" s="16" t="s">
        <v>514</v>
      </c>
      <c r="E12" s="26">
        <f>100+20060+2862+3363+2390+5900</f>
        <v>34675</v>
      </c>
      <c r="F12" s="26"/>
    </row>
    <row r="13" spans="2:6" ht="15.75">
      <c r="B13" s="14">
        <v>43076</v>
      </c>
      <c r="C13" s="15">
        <v>1712010</v>
      </c>
      <c r="D13" s="12" t="s">
        <v>515</v>
      </c>
      <c r="E13" s="26"/>
      <c r="F13" s="26">
        <v>11500</v>
      </c>
    </row>
    <row r="14" spans="2:6" ht="15.75">
      <c r="B14" s="14">
        <v>43076</v>
      </c>
      <c r="C14" s="11">
        <v>1712011</v>
      </c>
      <c r="D14" s="16" t="s">
        <v>516</v>
      </c>
      <c r="E14" s="26"/>
      <c r="F14" s="26">
        <v>62000</v>
      </c>
    </row>
    <row r="15" spans="2:6" ht="15.75">
      <c r="B15" s="14">
        <v>43076</v>
      </c>
      <c r="C15" s="15">
        <v>1712012</v>
      </c>
      <c r="D15" s="16" t="s">
        <v>517</v>
      </c>
      <c r="E15" s="26">
        <v>11900</v>
      </c>
      <c r="F15" s="26"/>
    </row>
    <row r="16" spans="2:6" ht="15.75">
      <c r="B16" s="14">
        <v>43077</v>
      </c>
      <c r="C16" s="11">
        <v>1712013</v>
      </c>
      <c r="D16" s="12" t="s">
        <v>518</v>
      </c>
      <c r="E16" s="26">
        <v>4952</v>
      </c>
      <c r="F16" s="26"/>
    </row>
    <row r="17" spans="2:9" ht="15.75">
      <c r="B17" s="14">
        <v>43077</v>
      </c>
      <c r="C17" s="15">
        <v>1712014</v>
      </c>
      <c r="D17" s="12" t="s">
        <v>519</v>
      </c>
      <c r="E17" s="26">
        <f>15086+87412+36184+11133</f>
        <v>149815</v>
      </c>
      <c r="F17" s="26"/>
    </row>
    <row r="18" spans="2:9" ht="15.75">
      <c r="B18" s="14">
        <v>43078</v>
      </c>
      <c r="C18" s="11">
        <v>1712015</v>
      </c>
      <c r="D18" s="12" t="s">
        <v>520</v>
      </c>
      <c r="E18" s="26">
        <f>2231+48185</f>
        <v>50416</v>
      </c>
      <c r="F18" s="26"/>
    </row>
    <row r="19" spans="2:9" ht="15.75">
      <c r="B19" s="14">
        <v>43078</v>
      </c>
      <c r="C19" s="15">
        <v>1712016</v>
      </c>
      <c r="D19" s="16" t="s">
        <v>521</v>
      </c>
      <c r="E19" s="26"/>
      <c r="F19" s="26">
        <v>10000</v>
      </c>
    </row>
    <row r="20" spans="2:9" ht="15.75">
      <c r="B20" s="14">
        <v>43080</v>
      </c>
      <c r="C20" s="11">
        <v>1712017</v>
      </c>
      <c r="D20" s="12" t="s">
        <v>387</v>
      </c>
      <c r="E20" s="26"/>
      <c r="F20" s="26">
        <v>3000</v>
      </c>
    </row>
    <row r="21" spans="2:9" ht="15.75">
      <c r="B21" s="14">
        <v>43080</v>
      </c>
      <c r="C21" s="15">
        <v>1712018</v>
      </c>
      <c r="D21" s="12" t="s">
        <v>522</v>
      </c>
      <c r="E21" s="26"/>
      <c r="F21" s="26">
        <v>4900</v>
      </c>
    </row>
    <row r="22" spans="2:9" ht="15.75">
      <c r="B22" s="14">
        <v>43080</v>
      </c>
      <c r="C22" s="11">
        <v>1712019</v>
      </c>
      <c r="D22" s="12" t="s">
        <v>9</v>
      </c>
      <c r="E22" s="26"/>
      <c r="F22" s="26">
        <v>28438</v>
      </c>
    </row>
    <row r="23" spans="2:9" ht="15.75">
      <c r="B23" s="14">
        <v>43080</v>
      </c>
      <c r="C23" s="15">
        <v>1712020</v>
      </c>
      <c r="D23" s="12" t="s">
        <v>523</v>
      </c>
      <c r="E23" s="26">
        <f>1180+1605+434+7935</f>
        <v>11154</v>
      </c>
      <c r="F23" s="26"/>
    </row>
    <row r="24" spans="2:9" ht="15.75">
      <c r="B24" s="6">
        <v>43081</v>
      </c>
      <c r="C24" s="36">
        <v>1712021</v>
      </c>
      <c r="D24" s="37" t="s">
        <v>553</v>
      </c>
      <c r="E24" s="24">
        <v>39708</v>
      </c>
      <c r="F24" s="24"/>
      <c r="H24" s="32"/>
    </row>
    <row r="25" spans="2:9" ht="15.75">
      <c r="B25" s="14">
        <v>43081</v>
      </c>
      <c r="C25" s="15">
        <v>1712022</v>
      </c>
      <c r="D25" s="12" t="s">
        <v>19</v>
      </c>
      <c r="E25" s="26"/>
      <c r="F25" s="26">
        <v>60000</v>
      </c>
      <c r="H25" s="32"/>
      <c r="I25" s="32"/>
    </row>
    <row r="26" spans="2:9" ht="15.75">
      <c r="B26" s="14">
        <v>43081</v>
      </c>
      <c r="C26" s="11">
        <v>1712023</v>
      </c>
      <c r="D26" s="12" t="s">
        <v>45</v>
      </c>
      <c r="E26" s="26"/>
      <c r="F26" s="26">
        <v>2500</v>
      </c>
      <c r="H26" s="32"/>
      <c r="I26" s="32"/>
    </row>
    <row r="27" spans="2:9" ht="15.75">
      <c r="B27" s="14">
        <v>43081</v>
      </c>
      <c r="C27" s="15">
        <v>1712024</v>
      </c>
      <c r="D27" s="12" t="s">
        <v>524</v>
      </c>
      <c r="E27" s="26"/>
      <c r="F27" s="26">
        <v>30000</v>
      </c>
    </row>
    <row r="28" spans="2:9" ht="15.75">
      <c r="B28" s="14">
        <v>43081</v>
      </c>
      <c r="C28" s="11">
        <v>1712025</v>
      </c>
      <c r="D28" s="12" t="s">
        <v>525</v>
      </c>
      <c r="E28" s="26">
        <f>60044+12638+11334</f>
        <v>84016</v>
      </c>
      <c r="F28" s="26"/>
    </row>
    <row r="29" spans="2:9" ht="15.75">
      <c r="B29" s="14">
        <v>43082</v>
      </c>
      <c r="C29" s="15">
        <v>1712026</v>
      </c>
      <c r="D29" s="16" t="s">
        <v>41</v>
      </c>
      <c r="E29" s="26"/>
      <c r="F29" s="26">
        <v>2000</v>
      </c>
    </row>
    <row r="30" spans="2:9" ht="15.75">
      <c r="B30" s="14">
        <v>43082</v>
      </c>
      <c r="C30" s="11">
        <v>1712027</v>
      </c>
      <c r="D30" s="12" t="s">
        <v>526</v>
      </c>
      <c r="E30" s="26">
        <f>27871+1888+16148+7062+7770+11428+42086+6118+17404</f>
        <v>137775</v>
      </c>
      <c r="F30" s="26"/>
    </row>
    <row r="31" spans="2:9" ht="15.75">
      <c r="B31" s="14">
        <v>43083</v>
      </c>
      <c r="C31" s="15">
        <v>1712028</v>
      </c>
      <c r="D31" s="16" t="s">
        <v>527</v>
      </c>
      <c r="E31" s="26"/>
      <c r="F31" s="26">
        <v>60000</v>
      </c>
    </row>
    <row r="32" spans="2:9" ht="15.75">
      <c r="B32" s="14">
        <v>43083</v>
      </c>
      <c r="C32" s="11">
        <v>1712029</v>
      </c>
      <c r="D32" s="35" t="s">
        <v>528</v>
      </c>
      <c r="E32" s="26"/>
      <c r="F32" s="26">
        <v>70000</v>
      </c>
    </row>
    <row r="33" spans="2:6" ht="15.75">
      <c r="B33" s="14">
        <v>43083</v>
      </c>
      <c r="C33" s="15">
        <v>1712030</v>
      </c>
      <c r="D33" s="12" t="s">
        <v>8</v>
      </c>
      <c r="E33" s="26"/>
      <c r="F33" s="26">
        <v>57972</v>
      </c>
    </row>
    <row r="34" spans="2:6" ht="15.75">
      <c r="B34" s="14">
        <v>43083</v>
      </c>
      <c r="C34" s="11">
        <v>1712031</v>
      </c>
      <c r="D34" s="12" t="s">
        <v>315</v>
      </c>
      <c r="E34" s="26"/>
      <c r="F34" s="26">
        <v>45720</v>
      </c>
    </row>
    <row r="35" spans="2:6" ht="15.75">
      <c r="B35" s="14">
        <v>43083</v>
      </c>
      <c r="C35" s="15">
        <v>1712032</v>
      </c>
      <c r="D35" s="12" t="s">
        <v>529</v>
      </c>
      <c r="E35" s="26">
        <f>33022+8065+103883</f>
        <v>144970</v>
      </c>
      <c r="F35" s="29"/>
    </row>
    <row r="36" spans="2:6" ht="15.75">
      <c r="B36" s="14">
        <v>43084</v>
      </c>
      <c r="C36" s="11">
        <v>1712033</v>
      </c>
      <c r="D36" s="12" t="s">
        <v>530</v>
      </c>
      <c r="E36" s="26">
        <f>85945+34674</f>
        <v>120619</v>
      </c>
      <c r="F36" s="24"/>
    </row>
    <row r="37" spans="2:6" ht="15.75">
      <c r="B37" s="14">
        <v>43085</v>
      </c>
      <c r="C37" s="15">
        <v>1712034</v>
      </c>
      <c r="D37" s="12" t="s">
        <v>531</v>
      </c>
      <c r="E37" s="26">
        <v>45412</v>
      </c>
      <c r="F37" s="24"/>
    </row>
    <row r="38" spans="2:6" ht="15.75">
      <c r="B38" s="14">
        <v>43087</v>
      </c>
      <c r="C38" s="11">
        <v>1712035</v>
      </c>
      <c r="D38" s="12" t="s">
        <v>9</v>
      </c>
      <c r="E38" s="26"/>
      <c r="F38" s="24">
        <v>1920</v>
      </c>
    </row>
    <row r="39" spans="2:6" ht="15.75">
      <c r="B39" s="14">
        <v>43087</v>
      </c>
      <c r="C39" s="15">
        <v>1712036</v>
      </c>
      <c r="D39" s="12" t="s">
        <v>532</v>
      </c>
      <c r="E39" s="26">
        <f>27004+5066</f>
        <v>32070</v>
      </c>
      <c r="F39" s="24"/>
    </row>
    <row r="40" spans="2:6" ht="15.75">
      <c r="B40" s="14">
        <v>43088</v>
      </c>
      <c r="C40" s="11">
        <v>1712037</v>
      </c>
      <c r="D40" s="16" t="s">
        <v>533</v>
      </c>
      <c r="E40" s="26">
        <f>500+119180+100+44840-45548</f>
        <v>119072</v>
      </c>
      <c r="F40" s="24"/>
    </row>
    <row r="41" spans="2:6" ht="15.75">
      <c r="B41" s="14">
        <v>43088</v>
      </c>
      <c r="C41" s="15">
        <v>1712038</v>
      </c>
      <c r="D41" s="12" t="s">
        <v>534</v>
      </c>
      <c r="E41" s="26">
        <f>15217+213739+400</f>
        <v>229356</v>
      </c>
      <c r="F41" s="26"/>
    </row>
    <row r="42" spans="2:6" ht="15.75">
      <c r="B42" s="14">
        <v>43089</v>
      </c>
      <c r="C42" s="11">
        <v>1712039</v>
      </c>
      <c r="D42" s="16" t="s">
        <v>535</v>
      </c>
      <c r="E42" s="26">
        <f>29246+43111+1168</f>
        <v>73525</v>
      </c>
      <c r="F42" s="25"/>
    </row>
    <row r="43" spans="2:6" ht="15.75">
      <c r="B43" s="14">
        <v>43090</v>
      </c>
      <c r="C43" s="15">
        <v>1712040</v>
      </c>
      <c r="D43" s="12" t="s">
        <v>536</v>
      </c>
      <c r="E43" s="26">
        <f>11685+39748+9540+22225</f>
        <v>83198</v>
      </c>
      <c r="F43" s="25"/>
    </row>
    <row r="44" spans="2:6" ht="15.75">
      <c r="B44" s="14">
        <v>43091</v>
      </c>
      <c r="C44" s="11">
        <v>1712041</v>
      </c>
      <c r="D44" s="12" t="s">
        <v>45</v>
      </c>
      <c r="E44" s="26"/>
      <c r="F44" s="25">
        <v>2500</v>
      </c>
    </row>
    <row r="45" spans="2:6" ht="15.75">
      <c r="B45" s="14">
        <v>43091</v>
      </c>
      <c r="C45" s="15">
        <v>1712042</v>
      </c>
      <c r="D45" s="12" t="s">
        <v>537</v>
      </c>
      <c r="E45" s="25">
        <f>7180+944+6177</f>
        <v>14301</v>
      </c>
      <c r="F45" s="25"/>
    </row>
    <row r="46" spans="2:6" ht="15.75">
      <c r="B46" s="14">
        <v>43092</v>
      </c>
      <c r="C46" s="11">
        <v>1712043</v>
      </c>
      <c r="D46" s="12" t="s">
        <v>538</v>
      </c>
      <c r="E46" s="25">
        <f>37570</f>
        <v>37570</v>
      </c>
      <c r="F46" s="25"/>
    </row>
    <row r="47" spans="2:6" ht="15.75">
      <c r="B47" s="14">
        <v>43092</v>
      </c>
      <c r="C47" s="15">
        <v>1712044</v>
      </c>
      <c r="D47" s="16" t="s">
        <v>539</v>
      </c>
      <c r="E47" s="25"/>
      <c r="F47" s="25">
        <v>12000</v>
      </c>
    </row>
    <row r="48" spans="2:6" ht="15.75">
      <c r="B48" s="14">
        <v>43095</v>
      </c>
      <c r="C48" s="11">
        <v>1712045</v>
      </c>
      <c r="D48" s="16" t="s">
        <v>511</v>
      </c>
      <c r="E48" s="25"/>
      <c r="F48" s="25">
        <v>30100</v>
      </c>
    </row>
    <row r="49" spans="2:6" ht="15.75">
      <c r="B49" s="14">
        <v>43095</v>
      </c>
      <c r="C49" s="15">
        <v>1712046</v>
      </c>
      <c r="D49" s="12" t="s">
        <v>9</v>
      </c>
      <c r="E49" s="25"/>
      <c r="F49" s="25">
        <v>5876</v>
      </c>
    </row>
    <row r="50" spans="2:6" ht="15.75">
      <c r="B50" s="14">
        <v>43095</v>
      </c>
      <c r="C50" s="11">
        <v>1712047</v>
      </c>
      <c r="D50" s="12" t="s">
        <v>540</v>
      </c>
      <c r="E50" s="25">
        <f>5381</f>
        <v>5381</v>
      </c>
      <c r="F50" s="25"/>
    </row>
    <row r="51" spans="2:6" ht="15.75">
      <c r="B51" s="14">
        <v>43097</v>
      </c>
      <c r="C51" s="15">
        <v>1712048</v>
      </c>
      <c r="D51" s="16" t="s">
        <v>541</v>
      </c>
      <c r="E51" s="25">
        <f>8476+4814+29411</f>
        <v>42701</v>
      </c>
      <c r="F51" s="25"/>
    </row>
    <row r="52" spans="2:6" ht="15.75">
      <c r="B52" s="14">
        <v>43099</v>
      </c>
      <c r="C52" s="11">
        <v>1712049</v>
      </c>
      <c r="D52" s="12" t="s">
        <v>542</v>
      </c>
      <c r="E52" s="25"/>
      <c r="F52" s="25">
        <v>100000</v>
      </c>
    </row>
    <row r="53" spans="2:6" ht="15.75">
      <c r="B53" s="14">
        <v>43099</v>
      </c>
      <c r="C53" s="15">
        <v>1712050</v>
      </c>
      <c r="D53" s="16" t="s">
        <v>543</v>
      </c>
      <c r="E53" s="25"/>
      <c r="F53" s="25">
        <v>12000</v>
      </c>
    </row>
    <row r="54" spans="2:6" ht="15.75">
      <c r="B54" s="14">
        <v>43099</v>
      </c>
      <c r="C54" s="15">
        <v>1712051</v>
      </c>
      <c r="D54" s="16" t="s">
        <v>552</v>
      </c>
      <c r="E54" s="25">
        <f>3115</f>
        <v>3115</v>
      </c>
      <c r="F54" s="25"/>
    </row>
    <row r="55" spans="2:6" ht="15.75">
      <c r="B55" s="14">
        <v>43099</v>
      </c>
      <c r="C55" s="15">
        <v>1712052</v>
      </c>
      <c r="D55" s="16" t="s">
        <v>343</v>
      </c>
      <c r="E55" s="25"/>
      <c r="F55" s="25">
        <v>315000</v>
      </c>
    </row>
    <row r="56" spans="2:6" ht="15.75">
      <c r="B56" s="18"/>
      <c r="C56" s="19"/>
      <c r="D56" s="20"/>
      <c r="E56" s="25">
        <f>SUM(E3:E55)</f>
        <v>6404469</v>
      </c>
      <c r="F56" s="25">
        <f>SUM(F3:F55)</f>
        <v>1080526</v>
      </c>
    </row>
    <row r="57" spans="2:6">
      <c r="B57" s="5"/>
      <c r="C57" s="27"/>
    </row>
    <row r="58" spans="2:6">
      <c r="B58" s="5"/>
      <c r="C58" s="27"/>
      <c r="E58" s="21" t="s">
        <v>6</v>
      </c>
      <c r="F58" s="17">
        <f>E56-F56</f>
        <v>5323943</v>
      </c>
    </row>
  </sheetData>
  <printOptions horizontalCentered="1" verticalCentered="1"/>
  <pageMargins left="0" right="0" top="0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73"/>
  <sheetViews>
    <sheetView topLeftCell="A64" workbookViewId="0">
      <selection activeCell="F73" sqref="B2:F73"/>
    </sheetView>
  </sheetViews>
  <sheetFormatPr baseColWidth="10" defaultRowHeight="15"/>
  <cols>
    <col min="2" max="2" width="10" style="5" customWidth="1"/>
    <col min="3" max="3" width="10.85546875" style="27" customWidth="1"/>
    <col min="4" max="4" width="47.85546875" bestFit="1" customWidth="1"/>
    <col min="5" max="6" width="14.140625" bestFit="1" customWidth="1"/>
    <col min="9" max="9" width="14.140625" bestFit="1" customWidth="1"/>
  </cols>
  <sheetData>
    <row r="2" spans="2:9" s="5" customFormat="1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9">
      <c r="B3" s="6">
        <v>42767</v>
      </c>
      <c r="C3" s="22"/>
      <c r="D3" s="8" t="s">
        <v>82</v>
      </c>
      <c r="E3" s="24">
        <f>'JANVIER 2017'!F69</f>
        <v>1224576</v>
      </c>
      <c r="F3" s="24"/>
      <c r="G3" s="1"/>
      <c r="H3" s="1"/>
      <c r="I3" s="1"/>
    </row>
    <row r="4" spans="2:9" ht="15.75">
      <c r="B4" s="10">
        <v>42767</v>
      </c>
      <c r="C4" s="11">
        <v>1702001</v>
      </c>
      <c r="D4" s="16" t="s">
        <v>83</v>
      </c>
      <c r="E4" s="25">
        <f>100+97232</f>
        <v>97332</v>
      </c>
      <c r="F4" s="25"/>
      <c r="H4" s="1"/>
      <c r="I4" s="1"/>
    </row>
    <row r="5" spans="2:9" ht="15.75">
      <c r="B5" s="14">
        <v>42768</v>
      </c>
      <c r="C5" s="15">
        <v>1702002</v>
      </c>
      <c r="D5" s="16" t="s">
        <v>11</v>
      </c>
      <c r="E5" s="26">
        <f>100+104869+100+56215+100+23630</f>
        <v>185014</v>
      </c>
      <c r="F5" s="26"/>
      <c r="H5" s="1"/>
      <c r="I5" s="1"/>
    </row>
    <row r="6" spans="2:9" ht="15.75">
      <c r="B6" s="14">
        <v>42769</v>
      </c>
      <c r="C6" s="11">
        <v>1702003</v>
      </c>
      <c r="D6" s="16" t="s">
        <v>32</v>
      </c>
      <c r="E6" s="26"/>
      <c r="F6" s="26">
        <v>29850</v>
      </c>
      <c r="H6" s="1"/>
      <c r="I6" s="1"/>
    </row>
    <row r="7" spans="2:9" ht="15.75">
      <c r="B7" s="14">
        <v>42769</v>
      </c>
      <c r="C7" s="15">
        <v>1702004</v>
      </c>
      <c r="D7" s="16" t="s">
        <v>84</v>
      </c>
      <c r="E7" s="26"/>
      <c r="F7" s="26">
        <v>5000</v>
      </c>
      <c r="H7" s="1"/>
      <c r="I7" s="1"/>
    </row>
    <row r="8" spans="2:9" ht="15.75">
      <c r="B8" s="14">
        <v>42769</v>
      </c>
      <c r="C8" s="11">
        <v>1702005</v>
      </c>
      <c r="D8" s="16" t="s">
        <v>12</v>
      </c>
      <c r="E8" s="26">
        <f>100+8874+100+8385</f>
        <v>17459</v>
      </c>
      <c r="F8" s="26"/>
      <c r="H8" s="1"/>
      <c r="I8" s="1"/>
    </row>
    <row r="9" spans="2:9" ht="15.75">
      <c r="B9" s="14">
        <v>42770</v>
      </c>
      <c r="C9" s="15">
        <v>1702006</v>
      </c>
      <c r="D9" s="12" t="s">
        <v>8</v>
      </c>
      <c r="E9" s="26"/>
      <c r="F9" s="26">
        <v>14555</v>
      </c>
      <c r="H9" s="1"/>
    </row>
    <row r="10" spans="2:9" ht="15.75">
      <c r="B10" s="14">
        <v>42770</v>
      </c>
      <c r="C10" s="11">
        <v>1702007</v>
      </c>
      <c r="D10" s="16" t="s">
        <v>13</v>
      </c>
      <c r="E10" s="26"/>
      <c r="F10" s="26">
        <v>27000</v>
      </c>
      <c r="H10" s="1"/>
      <c r="I10" s="1"/>
    </row>
    <row r="11" spans="2:9" ht="15.75">
      <c r="B11" s="14">
        <v>42770</v>
      </c>
      <c r="C11" s="15">
        <v>1702008</v>
      </c>
      <c r="D11" s="16" t="s">
        <v>85</v>
      </c>
      <c r="E11" s="26"/>
      <c r="F11" s="26">
        <v>23000</v>
      </c>
      <c r="H11" s="1"/>
      <c r="I11" s="1"/>
    </row>
    <row r="12" spans="2:9" ht="15.75">
      <c r="B12" s="14">
        <v>42772</v>
      </c>
      <c r="C12" s="11">
        <v>1702009</v>
      </c>
      <c r="D12" s="16" t="s">
        <v>8</v>
      </c>
      <c r="E12" s="26"/>
      <c r="F12" s="26">
        <v>11310</v>
      </c>
      <c r="H12" s="1"/>
    </row>
    <row r="13" spans="2:9" ht="15.75">
      <c r="B13" s="14">
        <v>42772</v>
      </c>
      <c r="C13" s="15">
        <v>1702010</v>
      </c>
      <c r="D13" s="16" t="s">
        <v>86</v>
      </c>
      <c r="E13" s="26"/>
      <c r="F13" s="26">
        <v>7000</v>
      </c>
      <c r="H13" s="1"/>
      <c r="I13" s="1"/>
    </row>
    <row r="14" spans="2:9" ht="15.75">
      <c r="B14" s="14">
        <v>42772</v>
      </c>
      <c r="C14" s="11">
        <v>1702011</v>
      </c>
      <c r="D14" s="12" t="s">
        <v>87</v>
      </c>
      <c r="E14" s="26"/>
      <c r="F14" s="26">
        <v>5000</v>
      </c>
      <c r="H14" s="1"/>
    </row>
    <row r="15" spans="2:9" ht="15.75">
      <c r="B15" s="14">
        <v>42772</v>
      </c>
      <c r="C15" s="15">
        <v>1702012</v>
      </c>
      <c r="D15" s="16" t="s">
        <v>17</v>
      </c>
      <c r="E15" s="26"/>
      <c r="F15" s="26">
        <v>3004</v>
      </c>
      <c r="H15" s="1"/>
      <c r="I15" s="1"/>
    </row>
    <row r="16" spans="2:9" ht="15.75">
      <c r="B16" s="14">
        <v>42772</v>
      </c>
      <c r="C16" s="11">
        <v>1702013</v>
      </c>
      <c r="D16" s="12" t="s">
        <v>88</v>
      </c>
      <c r="E16" s="26"/>
      <c r="F16" s="26">
        <v>18500</v>
      </c>
      <c r="H16" s="1"/>
      <c r="I16" s="1"/>
    </row>
    <row r="17" spans="2:9" ht="15.75">
      <c r="B17" s="14">
        <v>42772</v>
      </c>
      <c r="C17" s="15">
        <v>1702014</v>
      </c>
      <c r="D17" s="16" t="s">
        <v>89</v>
      </c>
      <c r="E17" s="26">
        <f>100+84960+5211</f>
        <v>90271</v>
      </c>
      <c r="F17" s="26"/>
      <c r="H17" s="1"/>
      <c r="I17" s="1"/>
    </row>
    <row r="18" spans="2:9" ht="15.75">
      <c r="B18" s="14">
        <v>42773</v>
      </c>
      <c r="C18" s="11">
        <v>1702015</v>
      </c>
      <c r="D18" s="12" t="s">
        <v>90</v>
      </c>
      <c r="E18" s="26">
        <f>100+6542+3048+100+18904</f>
        <v>28694</v>
      </c>
      <c r="F18" s="26"/>
      <c r="H18" s="1"/>
      <c r="I18" s="1"/>
    </row>
    <row r="19" spans="2:9" ht="15.75">
      <c r="B19" s="14">
        <v>42774</v>
      </c>
      <c r="C19" s="15">
        <v>1702016</v>
      </c>
      <c r="D19" s="16" t="s">
        <v>91</v>
      </c>
      <c r="E19" s="26"/>
      <c r="F19" s="26">
        <v>9484</v>
      </c>
      <c r="H19" s="1"/>
      <c r="I19" s="1"/>
    </row>
    <row r="20" spans="2:9" ht="15.75">
      <c r="B20" s="14">
        <v>42774</v>
      </c>
      <c r="C20" s="11">
        <v>1702017</v>
      </c>
      <c r="D20" s="16" t="s">
        <v>5</v>
      </c>
      <c r="E20" s="26"/>
      <c r="F20" s="26">
        <v>20000</v>
      </c>
      <c r="H20" s="1"/>
      <c r="I20" s="1"/>
    </row>
    <row r="21" spans="2:9" ht="15.75">
      <c r="B21" s="14">
        <v>42774</v>
      </c>
      <c r="C21" s="15">
        <v>1702018</v>
      </c>
      <c r="D21" s="12" t="s">
        <v>16</v>
      </c>
      <c r="E21" s="26"/>
      <c r="F21" s="26">
        <v>2000</v>
      </c>
      <c r="H21" s="1"/>
      <c r="I21" s="1"/>
    </row>
    <row r="22" spans="2:9" ht="15.75">
      <c r="B22" s="14">
        <v>42774</v>
      </c>
      <c r="C22" s="11">
        <v>1702019</v>
      </c>
      <c r="D22" s="16" t="s">
        <v>92</v>
      </c>
      <c r="E22" s="26">
        <f>100+36259+100+33781</f>
        <v>70240</v>
      </c>
      <c r="F22" s="26"/>
      <c r="H22" s="1"/>
      <c r="I22" s="1"/>
    </row>
    <row r="23" spans="2:9" ht="15.75">
      <c r="B23" s="14">
        <v>42775</v>
      </c>
      <c r="C23" s="15">
        <v>1702020</v>
      </c>
      <c r="D23" s="16" t="s">
        <v>8</v>
      </c>
      <c r="E23" s="26"/>
      <c r="F23" s="26">
        <v>26278</v>
      </c>
      <c r="H23" s="1"/>
      <c r="I23" s="1"/>
    </row>
    <row r="24" spans="2:9" ht="15.75">
      <c r="B24" s="14">
        <v>42775</v>
      </c>
      <c r="C24" s="11">
        <v>1702021</v>
      </c>
      <c r="D24" s="16" t="s">
        <v>93</v>
      </c>
      <c r="E24" s="26">
        <f>100+48616+100+46539</f>
        <v>95355</v>
      </c>
      <c r="F24" s="26"/>
      <c r="H24" s="1"/>
      <c r="I24" s="1"/>
    </row>
    <row r="25" spans="2:9" ht="15.75">
      <c r="B25" s="14">
        <v>42776</v>
      </c>
      <c r="C25" s="15">
        <v>1702022</v>
      </c>
      <c r="D25" s="12" t="s">
        <v>94</v>
      </c>
      <c r="E25" s="26"/>
      <c r="F25" s="26">
        <v>35000</v>
      </c>
      <c r="H25" s="1"/>
      <c r="I25" s="1"/>
    </row>
    <row r="26" spans="2:9" ht="15.75">
      <c r="B26" s="6">
        <v>42776</v>
      </c>
      <c r="C26" s="36">
        <v>1702023</v>
      </c>
      <c r="D26" s="37" t="s">
        <v>544</v>
      </c>
      <c r="E26" s="24"/>
      <c r="F26" s="24">
        <v>300000</v>
      </c>
      <c r="G26" s="32"/>
      <c r="H26" s="38"/>
      <c r="I26" s="1"/>
    </row>
    <row r="27" spans="2:9" ht="15.75">
      <c r="B27" s="14">
        <v>42776</v>
      </c>
      <c r="C27" s="15">
        <v>1702024</v>
      </c>
      <c r="D27" s="16" t="s">
        <v>95</v>
      </c>
      <c r="E27" s="26">
        <f>100+27376+5310+100+11193</f>
        <v>44079</v>
      </c>
      <c r="F27" s="26"/>
      <c r="H27" s="1"/>
      <c r="I27" s="1"/>
    </row>
    <row r="28" spans="2:9" ht="15.75">
      <c r="B28" s="14">
        <v>42777</v>
      </c>
      <c r="C28" s="11">
        <v>1702025</v>
      </c>
      <c r="D28" s="16" t="s">
        <v>96</v>
      </c>
      <c r="E28" s="26"/>
      <c r="F28" s="26">
        <v>17000</v>
      </c>
      <c r="H28" s="1"/>
      <c r="I28" s="1"/>
    </row>
    <row r="29" spans="2:9" ht="15.75">
      <c r="B29" s="14">
        <v>42779</v>
      </c>
      <c r="C29" s="15">
        <v>1702026</v>
      </c>
      <c r="D29" s="12" t="s">
        <v>5</v>
      </c>
      <c r="E29" s="26"/>
      <c r="F29" s="26">
        <v>20000</v>
      </c>
      <c r="H29" s="1"/>
      <c r="I29" s="1"/>
    </row>
    <row r="30" spans="2:9" ht="15.75">
      <c r="B30" s="14">
        <v>42779</v>
      </c>
      <c r="C30" s="11">
        <v>1702027</v>
      </c>
      <c r="D30" s="12" t="s">
        <v>45</v>
      </c>
      <c r="E30" s="26"/>
      <c r="F30" s="26">
        <v>2500</v>
      </c>
      <c r="H30" s="1"/>
      <c r="I30" s="1"/>
    </row>
    <row r="31" spans="2:9" ht="15.75">
      <c r="B31" s="14">
        <v>42779</v>
      </c>
      <c r="C31" s="15">
        <v>1702028</v>
      </c>
      <c r="D31" s="12" t="s">
        <v>97</v>
      </c>
      <c r="E31" s="26"/>
      <c r="F31" s="26">
        <v>40000</v>
      </c>
      <c r="H31" s="1"/>
      <c r="I31" s="1"/>
    </row>
    <row r="32" spans="2:9" ht="15.75">
      <c r="B32" s="14">
        <v>42779</v>
      </c>
      <c r="C32" s="11">
        <v>1702029</v>
      </c>
      <c r="D32" s="12" t="s">
        <v>98</v>
      </c>
      <c r="E32" s="26"/>
      <c r="F32" s="26">
        <v>60000</v>
      </c>
      <c r="H32" s="1"/>
      <c r="I32" s="1"/>
    </row>
    <row r="33" spans="2:9" ht="15.75">
      <c r="B33" s="14">
        <v>42779</v>
      </c>
      <c r="C33" s="15">
        <v>1702030</v>
      </c>
      <c r="D33" s="16" t="s">
        <v>99</v>
      </c>
      <c r="E33" s="26">
        <f>100+7912+4708+100+6726+100+18638</f>
        <v>38284</v>
      </c>
      <c r="F33" s="26"/>
      <c r="H33" s="1"/>
      <c r="I33" s="1"/>
    </row>
    <row r="34" spans="2:9" ht="15.75">
      <c r="B34" s="14">
        <v>42780</v>
      </c>
      <c r="C34" s="11">
        <v>1702031</v>
      </c>
      <c r="D34" s="12" t="s">
        <v>94</v>
      </c>
      <c r="E34" s="26"/>
      <c r="F34" s="26">
        <v>5000</v>
      </c>
      <c r="H34" s="1"/>
      <c r="I34" s="1"/>
    </row>
    <row r="35" spans="2:9" ht="15.75">
      <c r="B35" s="14">
        <v>42780</v>
      </c>
      <c r="C35" s="15">
        <v>1702032</v>
      </c>
      <c r="D35" s="16" t="s">
        <v>100</v>
      </c>
      <c r="E35" s="26">
        <f>100+36858</f>
        <v>36958</v>
      </c>
      <c r="F35" s="26"/>
      <c r="H35" s="1"/>
      <c r="I35" s="1"/>
    </row>
    <row r="36" spans="2:9" ht="15.75">
      <c r="B36" s="14">
        <v>42781</v>
      </c>
      <c r="C36" s="11">
        <v>1702033</v>
      </c>
      <c r="D36" s="12" t="s">
        <v>27</v>
      </c>
      <c r="E36" s="26"/>
      <c r="F36" s="26">
        <v>16900</v>
      </c>
      <c r="H36" s="1"/>
      <c r="I36" s="1"/>
    </row>
    <row r="37" spans="2:9" ht="15.75">
      <c r="B37" s="14">
        <v>42781</v>
      </c>
      <c r="C37" s="15">
        <v>1702034</v>
      </c>
      <c r="D37" s="12" t="s">
        <v>16</v>
      </c>
      <c r="E37" s="26"/>
      <c r="F37" s="26">
        <v>2000</v>
      </c>
      <c r="I37" s="1"/>
    </row>
    <row r="38" spans="2:9" ht="15.75">
      <c r="B38" s="14">
        <v>42781</v>
      </c>
      <c r="C38" s="11">
        <v>1702035</v>
      </c>
      <c r="D38" s="16" t="s">
        <v>101</v>
      </c>
      <c r="E38" s="26">
        <f>100+16249+100+81467</f>
        <v>97916</v>
      </c>
      <c r="F38" s="26"/>
      <c r="H38" s="1"/>
      <c r="I38" s="1"/>
    </row>
    <row r="39" spans="2:9" ht="15.75">
      <c r="B39" s="14">
        <v>42782</v>
      </c>
      <c r="C39" s="15">
        <v>1702036</v>
      </c>
      <c r="D39" s="12" t="s">
        <v>94</v>
      </c>
      <c r="E39" s="26"/>
      <c r="F39" s="26">
        <v>10000</v>
      </c>
      <c r="H39" s="1"/>
      <c r="I39" s="1"/>
    </row>
    <row r="40" spans="2:9" ht="15.75">
      <c r="B40" s="14">
        <v>42782</v>
      </c>
      <c r="C40" s="11">
        <v>1702037</v>
      </c>
      <c r="D40" s="16" t="s">
        <v>8</v>
      </c>
      <c r="E40" s="26"/>
      <c r="F40" s="26">
        <v>18685</v>
      </c>
      <c r="H40" s="1"/>
      <c r="I40" s="1"/>
    </row>
    <row r="41" spans="2:9" ht="15.75">
      <c r="B41" s="14">
        <v>42782</v>
      </c>
      <c r="C41" s="15">
        <v>1702038</v>
      </c>
      <c r="D41" s="16" t="s">
        <v>7</v>
      </c>
      <c r="E41" s="26"/>
      <c r="F41" s="26">
        <v>24630</v>
      </c>
      <c r="H41" s="1"/>
      <c r="I41" s="1"/>
    </row>
    <row r="42" spans="2:9" ht="15.75">
      <c r="B42" s="14">
        <v>42782</v>
      </c>
      <c r="C42" s="11">
        <v>1702039</v>
      </c>
      <c r="D42" s="16" t="s">
        <v>102</v>
      </c>
      <c r="E42" s="26">
        <f>100+20324</f>
        <v>20424</v>
      </c>
      <c r="F42" s="26"/>
      <c r="H42" s="1"/>
      <c r="I42" s="1"/>
    </row>
    <row r="43" spans="2:9" ht="15.75">
      <c r="B43" s="14">
        <v>42783</v>
      </c>
      <c r="C43" s="15">
        <v>1702040</v>
      </c>
      <c r="D43" s="16" t="s">
        <v>5</v>
      </c>
      <c r="E43" s="26"/>
      <c r="F43" s="26">
        <v>2000</v>
      </c>
      <c r="H43" s="1"/>
      <c r="I43" s="1"/>
    </row>
    <row r="44" spans="2:9" ht="15.75">
      <c r="B44" s="14">
        <v>42783</v>
      </c>
      <c r="C44" s="11">
        <v>1702041</v>
      </c>
      <c r="D44" s="16" t="s">
        <v>5</v>
      </c>
      <c r="E44" s="26"/>
      <c r="F44" s="26">
        <v>15000</v>
      </c>
      <c r="H44" s="1"/>
      <c r="I44" s="1"/>
    </row>
    <row r="45" spans="2:9" ht="15.75">
      <c r="B45" s="14">
        <v>42784</v>
      </c>
      <c r="C45" s="15">
        <v>1702042</v>
      </c>
      <c r="D45" s="16" t="s">
        <v>9</v>
      </c>
      <c r="E45" s="26"/>
      <c r="F45" s="26">
        <v>121400</v>
      </c>
      <c r="I45" s="1"/>
    </row>
    <row r="46" spans="2:9" ht="15.75">
      <c r="B46" s="14">
        <v>42784</v>
      </c>
      <c r="C46" s="11">
        <v>1702043</v>
      </c>
      <c r="D46" s="16" t="s">
        <v>103</v>
      </c>
      <c r="E46" s="26">
        <f>100+18054</f>
        <v>18154</v>
      </c>
      <c r="F46" s="26"/>
      <c r="I46" s="1"/>
    </row>
    <row r="47" spans="2:9" ht="15.75">
      <c r="B47" s="14">
        <v>42784</v>
      </c>
      <c r="C47" s="15">
        <v>1702044</v>
      </c>
      <c r="D47" s="16" t="s">
        <v>104</v>
      </c>
      <c r="E47" s="26"/>
      <c r="F47" s="26">
        <v>7000</v>
      </c>
      <c r="H47" s="1"/>
      <c r="I47" s="1"/>
    </row>
    <row r="48" spans="2:9" ht="15.75">
      <c r="B48" s="14">
        <v>42786</v>
      </c>
      <c r="C48" s="11">
        <v>1702045</v>
      </c>
      <c r="D48" s="16" t="s">
        <v>105</v>
      </c>
      <c r="E48" s="26">
        <f>2832</f>
        <v>2832</v>
      </c>
      <c r="F48" s="26"/>
      <c r="H48" s="1"/>
      <c r="I48" s="1"/>
    </row>
    <row r="49" spans="2:9" ht="15.75">
      <c r="B49" s="14">
        <v>42787</v>
      </c>
      <c r="C49" s="15">
        <v>1702046</v>
      </c>
      <c r="D49" s="16" t="s">
        <v>106</v>
      </c>
      <c r="E49" s="26"/>
      <c r="F49" s="26">
        <v>69375</v>
      </c>
      <c r="H49" s="1"/>
      <c r="I49" s="1"/>
    </row>
    <row r="50" spans="2:9" ht="15.75">
      <c r="B50" s="14">
        <v>42787</v>
      </c>
      <c r="C50" s="11">
        <v>1702047</v>
      </c>
      <c r="D50" s="16" t="s">
        <v>16</v>
      </c>
      <c r="E50" s="26"/>
      <c r="F50" s="26">
        <v>2000</v>
      </c>
      <c r="H50" s="1"/>
      <c r="I50" s="1"/>
    </row>
    <row r="51" spans="2:9" ht="15.75">
      <c r="B51" s="14">
        <v>42788</v>
      </c>
      <c r="C51" s="15">
        <v>1702048</v>
      </c>
      <c r="D51" s="16" t="s">
        <v>5</v>
      </c>
      <c r="E51" s="26"/>
      <c r="F51" s="26">
        <v>20000</v>
      </c>
      <c r="H51" s="1"/>
      <c r="I51" s="1"/>
    </row>
    <row r="52" spans="2:9" ht="15.75">
      <c r="B52" s="14">
        <v>42788</v>
      </c>
      <c r="C52" s="11">
        <v>1702049</v>
      </c>
      <c r="D52" s="16" t="s">
        <v>107</v>
      </c>
      <c r="E52" s="25"/>
      <c r="F52" s="25">
        <v>30000</v>
      </c>
      <c r="H52" s="1"/>
      <c r="I52" s="1"/>
    </row>
    <row r="53" spans="2:9" ht="15.75">
      <c r="B53" s="14">
        <v>42788</v>
      </c>
      <c r="C53" s="15">
        <v>1702050</v>
      </c>
      <c r="D53" s="16" t="s">
        <v>108</v>
      </c>
      <c r="E53" s="25"/>
      <c r="F53" s="25">
        <v>370000</v>
      </c>
      <c r="H53" s="1"/>
      <c r="I53" s="1"/>
    </row>
    <row r="54" spans="2:9" ht="15.75">
      <c r="B54" s="14">
        <v>42788</v>
      </c>
      <c r="C54" s="11">
        <v>1702051</v>
      </c>
      <c r="D54" s="16" t="s">
        <v>109</v>
      </c>
      <c r="E54" s="25">
        <f>100+37288+5664+100+14892</f>
        <v>58044</v>
      </c>
      <c r="F54" s="25"/>
      <c r="I54" s="1"/>
    </row>
    <row r="55" spans="2:9" ht="15.75">
      <c r="B55" s="14">
        <v>42789</v>
      </c>
      <c r="C55" s="15">
        <v>1702052</v>
      </c>
      <c r="D55" s="16" t="s">
        <v>110</v>
      </c>
      <c r="E55" s="25">
        <f>100+17196+100+24544</f>
        <v>41940</v>
      </c>
      <c r="F55" s="25"/>
      <c r="I55" s="1"/>
    </row>
    <row r="56" spans="2:9" ht="15.75">
      <c r="B56" s="14">
        <v>42790</v>
      </c>
      <c r="C56" s="11">
        <v>1702053</v>
      </c>
      <c r="D56" s="16" t="s">
        <v>111</v>
      </c>
      <c r="E56" s="25"/>
      <c r="F56" s="25">
        <v>93800</v>
      </c>
      <c r="I56" s="1"/>
    </row>
    <row r="57" spans="2:9" ht="15.75">
      <c r="B57" s="14">
        <v>42790</v>
      </c>
      <c r="C57" s="15">
        <v>1702054</v>
      </c>
      <c r="D57" s="16" t="s">
        <v>112</v>
      </c>
      <c r="E57" s="25">
        <f>100+62216+100+34102+100+12897</f>
        <v>109515</v>
      </c>
      <c r="F57" s="25"/>
      <c r="I57" s="1"/>
    </row>
    <row r="58" spans="2:9" ht="15.75">
      <c r="B58" s="14">
        <v>42791</v>
      </c>
      <c r="C58" s="11">
        <v>1702055</v>
      </c>
      <c r="D58" s="16" t="s">
        <v>26</v>
      </c>
      <c r="E58" s="25"/>
      <c r="F58" s="25">
        <v>5000</v>
      </c>
      <c r="H58" s="1"/>
      <c r="I58" s="1"/>
    </row>
    <row r="59" spans="2:9" ht="15.75">
      <c r="B59" s="14">
        <v>42791</v>
      </c>
      <c r="C59" s="15">
        <v>1702056</v>
      </c>
      <c r="D59" s="16" t="s">
        <v>113</v>
      </c>
      <c r="E59" s="25"/>
      <c r="F59" s="25">
        <v>39500</v>
      </c>
      <c r="H59" s="1"/>
      <c r="I59" s="1"/>
    </row>
    <row r="60" spans="2:9" ht="15.75">
      <c r="B60" s="14">
        <v>42793</v>
      </c>
      <c r="C60" s="11">
        <v>1702057</v>
      </c>
      <c r="D60" s="16" t="s">
        <v>5</v>
      </c>
      <c r="E60" s="25"/>
      <c r="F60" s="25">
        <v>10000</v>
      </c>
      <c r="H60" s="1"/>
      <c r="I60" s="1"/>
    </row>
    <row r="61" spans="2:9" ht="15.75">
      <c r="B61" s="14">
        <v>42793</v>
      </c>
      <c r="C61" s="15">
        <v>1702058</v>
      </c>
      <c r="D61" s="16" t="s">
        <v>114</v>
      </c>
      <c r="E61" s="25"/>
      <c r="F61" s="25">
        <v>300</v>
      </c>
      <c r="H61" s="1"/>
      <c r="I61" s="1"/>
    </row>
    <row r="62" spans="2:9" ht="15.75">
      <c r="B62" s="14">
        <v>42793</v>
      </c>
      <c r="C62" s="11">
        <v>1702059</v>
      </c>
      <c r="D62" s="12" t="s">
        <v>45</v>
      </c>
      <c r="E62" s="25"/>
      <c r="F62" s="25">
        <v>2500</v>
      </c>
      <c r="H62" s="1"/>
      <c r="I62" s="1"/>
    </row>
    <row r="63" spans="2:9" ht="15.75">
      <c r="B63" s="14">
        <v>42793</v>
      </c>
      <c r="C63" s="15">
        <v>1702060</v>
      </c>
      <c r="D63" s="16" t="s">
        <v>8</v>
      </c>
      <c r="E63" s="25"/>
      <c r="F63" s="25">
        <v>33140</v>
      </c>
      <c r="H63" s="1"/>
      <c r="I63" s="1"/>
    </row>
    <row r="64" spans="2:9" ht="15.75">
      <c r="B64" s="14">
        <v>42793</v>
      </c>
      <c r="C64" s="11">
        <v>1702061</v>
      </c>
      <c r="D64" s="16" t="s">
        <v>115</v>
      </c>
      <c r="E64" s="25"/>
      <c r="F64" s="25">
        <v>80495</v>
      </c>
      <c r="H64" s="1"/>
      <c r="I64" s="1"/>
    </row>
    <row r="65" spans="2:9" ht="15.75">
      <c r="B65" s="14">
        <v>42793</v>
      </c>
      <c r="C65" s="15">
        <v>1702062</v>
      </c>
      <c r="D65" s="16" t="s">
        <v>116</v>
      </c>
      <c r="E65" s="25">
        <f>2596</f>
        <v>2596</v>
      </c>
      <c r="F65" s="25"/>
      <c r="H65" s="1"/>
      <c r="I65" s="1"/>
    </row>
    <row r="66" spans="2:9" ht="15.75">
      <c r="B66" s="14">
        <v>42794</v>
      </c>
      <c r="C66" s="11">
        <v>1702063</v>
      </c>
      <c r="D66" s="16" t="s">
        <v>19</v>
      </c>
      <c r="E66" s="25"/>
      <c r="F66" s="25">
        <v>120000</v>
      </c>
      <c r="H66" s="1"/>
      <c r="I66" s="1"/>
    </row>
    <row r="67" spans="2:9" ht="15.75">
      <c r="B67" s="14">
        <v>42794</v>
      </c>
      <c r="C67" s="15">
        <v>1702064</v>
      </c>
      <c r="D67" s="16" t="s">
        <v>5</v>
      </c>
      <c r="E67" s="25"/>
      <c r="F67" s="25">
        <v>20000</v>
      </c>
      <c r="I67" s="1"/>
    </row>
    <row r="68" spans="2:9" ht="15.75">
      <c r="B68" s="14">
        <v>42794</v>
      </c>
      <c r="C68" s="11">
        <v>1702065</v>
      </c>
      <c r="D68" s="16" t="s">
        <v>42</v>
      </c>
      <c r="E68" s="25"/>
      <c r="F68" s="25">
        <v>60000</v>
      </c>
      <c r="I68" s="1"/>
    </row>
    <row r="69" spans="2:9" ht="15.75">
      <c r="B69" s="14">
        <v>42794</v>
      </c>
      <c r="C69" s="15">
        <v>1702066</v>
      </c>
      <c r="D69" s="16" t="s">
        <v>117</v>
      </c>
      <c r="E69" s="25">
        <f>100+9027</f>
        <v>9127</v>
      </c>
      <c r="F69" s="25"/>
      <c r="I69" s="1"/>
    </row>
    <row r="70" spans="2:9" ht="15.75">
      <c r="B70" s="14">
        <v>42794</v>
      </c>
      <c r="C70" s="11">
        <v>1702067</v>
      </c>
      <c r="D70" s="16" t="s">
        <v>118</v>
      </c>
      <c r="E70" s="25"/>
      <c r="F70" s="25">
        <v>10500</v>
      </c>
      <c r="I70" s="1"/>
    </row>
    <row r="71" spans="2:9" ht="15.75">
      <c r="B71" s="18"/>
      <c r="C71" s="19"/>
      <c r="D71" s="20"/>
      <c r="E71" s="25">
        <f>SUM(E3:E70)</f>
        <v>2288810</v>
      </c>
      <c r="F71" s="25">
        <f>SUM(F3:F70)</f>
        <v>1865706</v>
      </c>
    </row>
    <row r="73" spans="2:9">
      <c r="E73" s="21" t="s">
        <v>6</v>
      </c>
      <c r="F73" s="17">
        <f>E71-F71</f>
        <v>423104</v>
      </c>
    </row>
  </sheetData>
  <printOptions horizontalCentered="1" verticalCentered="1"/>
  <pageMargins left="0" right="0" top="0" bottom="0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79"/>
  <sheetViews>
    <sheetView topLeftCell="A67" workbookViewId="0">
      <selection activeCell="F79" sqref="B2:F79"/>
    </sheetView>
  </sheetViews>
  <sheetFormatPr baseColWidth="10" defaultRowHeight="15"/>
  <cols>
    <col min="2" max="2" width="8.7109375" customWidth="1"/>
    <col min="3" max="3" width="9.7109375" customWidth="1"/>
    <col min="4" max="4" width="47.85546875" bestFit="1" customWidth="1"/>
    <col min="5" max="6" width="14.140625" bestFit="1" customWidth="1"/>
    <col min="8" max="8" width="12" customWidth="1"/>
  </cols>
  <sheetData>
    <row r="2" spans="2:8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8">
      <c r="B3" s="6">
        <v>42795</v>
      </c>
      <c r="C3" s="22"/>
      <c r="D3" s="8" t="s">
        <v>119</v>
      </c>
      <c r="E3" s="24">
        <f>'FEVRIER 2017'!F73</f>
        <v>423104</v>
      </c>
      <c r="F3" s="24"/>
    </row>
    <row r="4" spans="2:8" ht="15.75">
      <c r="B4" s="10">
        <v>42795</v>
      </c>
      <c r="C4" s="11">
        <v>1703001</v>
      </c>
      <c r="D4" s="16" t="s">
        <v>9</v>
      </c>
      <c r="E4" s="25"/>
      <c r="F4" s="25">
        <v>27800</v>
      </c>
    </row>
    <row r="5" spans="2:8" ht="15.75">
      <c r="B5" s="14">
        <v>42795</v>
      </c>
      <c r="C5" s="15">
        <v>1703002</v>
      </c>
      <c r="D5" s="16" t="s">
        <v>40</v>
      </c>
      <c r="E5" s="26"/>
      <c r="F5" s="26">
        <v>3000</v>
      </c>
      <c r="H5" s="1"/>
    </row>
    <row r="6" spans="2:8" ht="15.75">
      <c r="B6" s="14">
        <v>42795</v>
      </c>
      <c r="C6" s="11">
        <v>1703003</v>
      </c>
      <c r="D6" s="12" t="s">
        <v>120</v>
      </c>
      <c r="E6" s="26">
        <v>800000</v>
      </c>
      <c r="F6" s="26"/>
      <c r="H6" s="1"/>
    </row>
    <row r="7" spans="2:8" ht="15.75">
      <c r="B7" s="14">
        <v>42795</v>
      </c>
      <c r="C7" s="15">
        <v>1703004</v>
      </c>
      <c r="D7" s="16" t="s">
        <v>121</v>
      </c>
      <c r="E7" s="26">
        <f>100+9499+4137+100+31182</f>
        <v>45018</v>
      </c>
      <c r="F7" s="26"/>
      <c r="H7" s="1"/>
    </row>
    <row r="8" spans="2:8" ht="15.75">
      <c r="B8" s="14">
        <v>42796</v>
      </c>
      <c r="C8" s="11">
        <v>1703005</v>
      </c>
      <c r="D8" s="16" t="s">
        <v>122</v>
      </c>
      <c r="E8" s="26"/>
      <c r="F8" s="26">
        <v>500</v>
      </c>
      <c r="H8" s="1"/>
    </row>
    <row r="9" spans="2:8" ht="15.75">
      <c r="B9" s="14">
        <v>42796</v>
      </c>
      <c r="C9" s="15">
        <v>1703006</v>
      </c>
      <c r="D9" s="12" t="s">
        <v>16</v>
      </c>
      <c r="E9" s="26"/>
      <c r="F9" s="26">
        <v>2000</v>
      </c>
    </row>
    <row r="10" spans="2:8" s="32" customFormat="1" ht="15.75">
      <c r="B10" s="6">
        <v>42796</v>
      </c>
      <c r="C10" s="36">
        <v>1703007</v>
      </c>
      <c r="D10" s="37" t="s">
        <v>545</v>
      </c>
      <c r="E10" s="24"/>
      <c r="F10" s="24">
        <v>300000</v>
      </c>
    </row>
    <row r="11" spans="2:8" ht="15.75">
      <c r="B11" s="14">
        <v>42796</v>
      </c>
      <c r="C11" s="15">
        <v>1703008</v>
      </c>
      <c r="D11" s="12" t="s">
        <v>123</v>
      </c>
      <c r="E11" s="26">
        <f>100+53888+100+44834+100+6018</f>
        <v>105040</v>
      </c>
      <c r="F11" s="26"/>
    </row>
    <row r="12" spans="2:8" ht="15.75">
      <c r="B12" s="14">
        <v>42797</v>
      </c>
      <c r="C12" s="11">
        <v>1703009</v>
      </c>
      <c r="D12" s="12" t="s">
        <v>45</v>
      </c>
      <c r="E12" s="26"/>
      <c r="F12" s="26">
        <v>2500</v>
      </c>
    </row>
    <row r="13" spans="2:8" ht="15.75">
      <c r="B13" s="14">
        <v>42798</v>
      </c>
      <c r="C13" s="15">
        <v>1703010</v>
      </c>
      <c r="D13" s="16" t="s">
        <v>124</v>
      </c>
      <c r="E13" s="26"/>
      <c r="F13" s="26">
        <v>17000</v>
      </c>
    </row>
    <row r="14" spans="2:8" ht="15.75">
      <c r="B14" s="14">
        <v>42800</v>
      </c>
      <c r="C14" s="11">
        <v>1703011</v>
      </c>
      <c r="D14" s="16" t="s">
        <v>5</v>
      </c>
      <c r="E14" s="26"/>
      <c r="F14" s="26">
        <v>20000</v>
      </c>
    </row>
    <row r="15" spans="2:8" ht="15.75">
      <c r="B15" s="14">
        <v>42800</v>
      </c>
      <c r="C15" s="15">
        <v>1703012</v>
      </c>
      <c r="D15" s="16" t="s">
        <v>8</v>
      </c>
      <c r="E15" s="26"/>
      <c r="F15" s="26">
        <v>21786</v>
      </c>
    </row>
    <row r="16" spans="2:8" ht="15.75">
      <c r="B16" s="14">
        <v>42800</v>
      </c>
      <c r="C16" s="11">
        <v>1703013</v>
      </c>
      <c r="D16" s="12" t="s">
        <v>125</v>
      </c>
      <c r="E16" s="26"/>
      <c r="F16" s="26">
        <v>25000</v>
      </c>
    </row>
    <row r="17" spans="2:6" ht="15.75">
      <c r="B17" s="14">
        <v>42800</v>
      </c>
      <c r="C17" s="15">
        <v>1703014</v>
      </c>
      <c r="D17" s="16" t="s">
        <v>126</v>
      </c>
      <c r="E17" s="26">
        <f>100+24544+100+6608</f>
        <v>31352</v>
      </c>
      <c r="F17" s="26"/>
    </row>
    <row r="18" spans="2:6" ht="15.75">
      <c r="B18" s="14">
        <v>42801</v>
      </c>
      <c r="C18" s="11">
        <v>1703015</v>
      </c>
      <c r="D18" s="16" t="s">
        <v>127</v>
      </c>
      <c r="E18" s="26">
        <f>100+17110</f>
        <v>17210</v>
      </c>
      <c r="F18" s="26"/>
    </row>
    <row r="19" spans="2:6" ht="15.75">
      <c r="B19" s="14">
        <v>42802</v>
      </c>
      <c r="C19" s="15">
        <v>1703016</v>
      </c>
      <c r="D19" s="16" t="s">
        <v>16</v>
      </c>
      <c r="E19" s="26"/>
      <c r="F19" s="26">
        <v>1500</v>
      </c>
    </row>
    <row r="20" spans="2:6" ht="15.75">
      <c r="B20" s="14">
        <v>42802</v>
      </c>
      <c r="C20" s="11">
        <v>1703017</v>
      </c>
      <c r="D20" s="12" t="s">
        <v>128</v>
      </c>
      <c r="E20" s="26"/>
      <c r="F20" s="26">
        <v>40000</v>
      </c>
    </row>
    <row r="21" spans="2:6" ht="15.75">
      <c r="B21" s="14">
        <v>42802</v>
      </c>
      <c r="C21" s="15">
        <v>1703018</v>
      </c>
      <c r="D21" s="12" t="s">
        <v>129</v>
      </c>
      <c r="E21" s="26">
        <f>3422+100+21948</f>
        <v>25470</v>
      </c>
      <c r="F21" s="26"/>
    </row>
    <row r="22" spans="2:6" ht="15.75">
      <c r="B22" s="14">
        <v>42803</v>
      </c>
      <c r="C22" s="11">
        <v>1703019</v>
      </c>
      <c r="D22" s="16" t="s">
        <v>130</v>
      </c>
      <c r="E22" s="26">
        <f>100+9735</f>
        <v>9835</v>
      </c>
      <c r="F22" s="26"/>
    </row>
    <row r="23" spans="2:6" ht="15.75">
      <c r="B23" s="14">
        <v>42804</v>
      </c>
      <c r="C23" s="15">
        <v>1703020</v>
      </c>
      <c r="D23" s="12" t="s">
        <v>125</v>
      </c>
      <c r="E23" s="26"/>
      <c r="F23" s="26">
        <v>10000</v>
      </c>
    </row>
    <row r="24" spans="2:6" ht="15.75">
      <c r="B24" s="14">
        <v>42804</v>
      </c>
      <c r="C24" s="11">
        <v>1703021</v>
      </c>
      <c r="D24" s="16" t="s">
        <v>34</v>
      </c>
      <c r="E24" s="26"/>
      <c r="F24" s="26">
        <v>1000</v>
      </c>
    </row>
    <row r="25" spans="2:6" ht="15.75">
      <c r="B25" s="14">
        <v>42804</v>
      </c>
      <c r="C25" s="15">
        <v>1703022</v>
      </c>
      <c r="D25" s="16" t="s">
        <v>18</v>
      </c>
      <c r="E25" s="26"/>
      <c r="F25" s="26">
        <v>4500</v>
      </c>
    </row>
    <row r="26" spans="2:6" ht="15.75">
      <c r="B26" s="14">
        <v>42804</v>
      </c>
      <c r="C26" s="11">
        <v>1703023</v>
      </c>
      <c r="D26" s="16" t="s">
        <v>131</v>
      </c>
      <c r="E26" s="26"/>
      <c r="F26" s="26">
        <v>62437</v>
      </c>
    </row>
    <row r="27" spans="2:6" ht="15.75">
      <c r="B27" s="14">
        <v>42804</v>
      </c>
      <c r="C27" s="15">
        <v>1703024</v>
      </c>
      <c r="D27" s="16" t="s">
        <v>5</v>
      </c>
      <c r="E27" s="26"/>
      <c r="F27" s="26">
        <v>15000</v>
      </c>
    </row>
    <row r="28" spans="2:6" ht="15.75">
      <c r="B28" s="14">
        <v>42804</v>
      </c>
      <c r="C28" s="11">
        <v>1703025</v>
      </c>
      <c r="D28" s="12" t="s">
        <v>132</v>
      </c>
      <c r="E28" s="26">
        <f>100+51625+2803+100+8520+100+19258+100+40863+5900</f>
        <v>129369</v>
      </c>
      <c r="F28" s="26"/>
    </row>
    <row r="29" spans="2:6" ht="15.75">
      <c r="B29" s="14">
        <v>42805</v>
      </c>
      <c r="C29" s="15">
        <v>1703026</v>
      </c>
      <c r="D29" s="12" t="s">
        <v>133</v>
      </c>
      <c r="E29" s="26"/>
      <c r="F29" s="26">
        <v>30000</v>
      </c>
    </row>
    <row r="30" spans="2:6" ht="15.75">
      <c r="B30" s="14">
        <v>42805</v>
      </c>
      <c r="C30" s="11">
        <v>1703027</v>
      </c>
      <c r="D30" s="16" t="s">
        <v>16</v>
      </c>
      <c r="E30" s="26"/>
      <c r="F30" s="26">
        <v>2000</v>
      </c>
    </row>
    <row r="31" spans="2:6" ht="15.75">
      <c r="B31" s="14">
        <v>42805</v>
      </c>
      <c r="C31" s="15">
        <v>1703028</v>
      </c>
      <c r="D31" s="12" t="s">
        <v>5</v>
      </c>
      <c r="E31" s="26"/>
      <c r="F31" s="26">
        <v>10000</v>
      </c>
    </row>
    <row r="32" spans="2:6" ht="15.75">
      <c r="B32" s="14">
        <v>42805</v>
      </c>
      <c r="C32" s="11">
        <v>1703029</v>
      </c>
      <c r="D32" s="16" t="s">
        <v>18</v>
      </c>
      <c r="E32" s="26"/>
      <c r="F32" s="26">
        <v>4500</v>
      </c>
    </row>
    <row r="33" spans="2:6" ht="15.75">
      <c r="B33" s="14">
        <v>42805</v>
      </c>
      <c r="C33" s="15">
        <v>1703030</v>
      </c>
      <c r="D33" s="16" t="s">
        <v>134</v>
      </c>
      <c r="E33" s="26"/>
      <c r="F33" s="26">
        <v>12000</v>
      </c>
    </row>
    <row r="34" spans="2:6" ht="15.75">
      <c r="B34" s="14">
        <v>42805</v>
      </c>
      <c r="C34" s="11">
        <v>1703031</v>
      </c>
      <c r="D34" s="16" t="s">
        <v>135</v>
      </c>
      <c r="E34" s="26"/>
      <c r="F34" s="26">
        <v>23500</v>
      </c>
    </row>
    <row r="35" spans="2:6" ht="15.75">
      <c r="B35" s="14">
        <v>42807</v>
      </c>
      <c r="C35" s="15">
        <v>1703032</v>
      </c>
      <c r="D35" s="16" t="s">
        <v>136</v>
      </c>
      <c r="E35" s="26"/>
      <c r="F35" s="26">
        <v>21000</v>
      </c>
    </row>
    <row r="36" spans="2:6" ht="15.75">
      <c r="B36" s="14">
        <v>42807</v>
      </c>
      <c r="C36" s="11">
        <v>1703033</v>
      </c>
      <c r="D36" s="16" t="s">
        <v>131</v>
      </c>
      <c r="E36" s="26"/>
      <c r="F36" s="26">
        <v>52725</v>
      </c>
    </row>
    <row r="37" spans="2:6" ht="15.75">
      <c r="B37" s="14">
        <v>42807</v>
      </c>
      <c r="C37" s="15">
        <v>1703034</v>
      </c>
      <c r="D37" s="16" t="s">
        <v>137</v>
      </c>
      <c r="E37" s="26">
        <f>5310+100+53836</f>
        <v>59246</v>
      </c>
      <c r="F37" s="26"/>
    </row>
    <row r="38" spans="2:6" ht="15.75">
      <c r="B38" s="14">
        <v>42808</v>
      </c>
      <c r="C38" s="11">
        <v>1703035</v>
      </c>
      <c r="D38" s="12" t="s">
        <v>45</v>
      </c>
      <c r="E38" s="26"/>
      <c r="F38" s="26">
        <v>2500</v>
      </c>
    </row>
    <row r="39" spans="2:6" ht="15.75">
      <c r="B39" s="14">
        <v>42808</v>
      </c>
      <c r="C39" s="15">
        <v>1703036</v>
      </c>
      <c r="D39" s="16" t="s">
        <v>138</v>
      </c>
      <c r="E39" s="26">
        <f>100+8921+100+38365+1851</f>
        <v>49337</v>
      </c>
      <c r="F39" s="26"/>
    </row>
    <row r="40" spans="2:6" ht="15.75">
      <c r="B40" s="14">
        <v>42809</v>
      </c>
      <c r="C40" s="11">
        <v>1703037</v>
      </c>
      <c r="D40" s="16" t="s">
        <v>5</v>
      </c>
      <c r="E40" s="26"/>
      <c r="F40" s="26">
        <v>20000</v>
      </c>
    </row>
    <row r="41" spans="2:6" ht="15.75">
      <c r="B41" s="14">
        <v>42809</v>
      </c>
      <c r="C41" s="15">
        <v>1703038</v>
      </c>
      <c r="D41" s="16" t="s">
        <v>34</v>
      </c>
      <c r="E41" s="26"/>
      <c r="F41" s="26">
        <v>1000</v>
      </c>
    </row>
    <row r="42" spans="2:6" ht="15.75">
      <c r="B42" s="14">
        <v>42809</v>
      </c>
      <c r="C42" s="11">
        <v>1703039</v>
      </c>
      <c r="D42" s="12" t="s">
        <v>15</v>
      </c>
      <c r="E42" s="26"/>
      <c r="F42" s="26">
        <v>1500</v>
      </c>
    </row>
    <row r="43" spans="2:6" ht="15.75">
      <c r="B43" s="14">
        <v>42809</v>
      </c>
      <c r="C43" s="15">
        <v>1703040</v>
      </c>
      <c r="D43" s="16" t="s">
        <v>139</v>
      </c>
      <c r="E43" s="26">
        <f>100+28886</f>
        <v>28986</v>
      </c>
      <c r="F43" s="26"/>
    </row>
    <row r="44" spans="2:6" ht="15.75">
      <c r="B44" s="14">
        <v>42810</v>
      </c>
      <c r="C44" s="11">
        <v>1703041</v>
      </c>
      <c r="D44" s="16" t="s">
        <v>140</v>
      </c>
      <c r="E44" s="25">
        <f>100+55755+100+15930</f>
        <v>71885</v>
      </c>
      <c r="F44" s="25"/>
    </row>
    <row r="45" spans="2:6" ht="15.75">
      <c r="B45" s="14">
        <v>42811</v>
      </c>
      <c r="C45" s="15">
        <v>1703042</v>
      </c>
      <c r="D45" s="12" t="s">
        <v>125</v>
      </c>
      <c r="E45" s="25"/>
      <c r="F45" s="25">
        <v>25000</v>
      </c>
    </row>
    <row r="46" spans="2:6" ht="15.75">
      <c r="B46" s="14">
        <v>42811</v>
      </c>
      <c r="C46" s="11">
        <v>1703043</v>
      </c>
      <c r="D46" s="12" t="s">
        <v>128</v>
      </c>
      <c r="E46" s="25"/>
      <c r="F46" s="25">
        <v>20000</v>
      </c>
    </row>
    <row r="47" spans="2:6" ht="15.75">
      <c r="B47" s="14">
        <v>42811</v>
      </c>
      <c r="C47" s="15">
        <v>1703044</v>
      </c>
      <c r="D47" s="16" t="s">
        <v>20</v>
      </c>
      <c r="E47" s="25"/>
      <c r="F47" s="25">
        <v>5000</v>
      </c>
    </row>
    <row r="48" spans="2:6" ht="15.75">
      <c r="B48" s="14">
        <v>42812</v>
      </c>
      <c r="C48" s="11">
        <v>1703045</v>
      </c>
      <c r="D48" s="12" t="s">
        <v>141</v>
      </c>
      <c r="E48" s="25"/>
      <c r="F48" s="25">
        <v>20000</v>
      </c>
    </row>
    <row r="49" spans="2:6" ht="15.75">
      <c r="B49" s="31">
        <v>42812</v>
      </c>
      <c r="C49" s="15">
        <v>1703046</v>
      </c>
      <c r="D49" s="16" t="s">
        <v>142</v>
      </c>
      <c r="E49" s="25"/>
      <c r="F49" s="25">
        <v>21000</v>
      </c>
    </row>
    <row r="50" spans="2:6" ht="15.75">
      <c r="B50" s="14">
        <v>42814</v>
      </c>
      <c r="C50" s="15">
        <v>1703047</v>
      </c>
      <c r="D50" s="16" t="s">
        <v>143</v>
      </c>
      <c r="E50" s="30"/>
      <c r="F50" s="25">
        <v>30000</v>
      </c>
    </row>
    <row r="51" spans="2:6" ht="15.75">
      <c r="B51" s="14">
        <v>42814</v>
      </c>
      <c r="C51" s="15">
        <v>1703048</v>
      </c>
      <c r="D51" s="16" t="s">
        <v>144</v>
      </c>
      <c r="E51" s="30">
        <f>500+132463+100+15045</f>
        <v>148108</v>
      </c>
      <c r="F51" s="25"/>
    </row>
    <row r="52" spans="2:6" ht="15.75">
      <c r="B52" s="14">
        <v>42815</v>
      </c>
      <c r="C52" s="15">
        <v>1703049</v>
      </c>
      <c r="D52" s="16" t="s">
        <v>5</v>
      </c>
      <c r="E52" s="30"/>
      <c r="F52" s="25">
        <v>20000</v>
      </c>
    </row>
    <row r="53" spans="2:6" ht="15.75">
      <c r="B53" s="14">
        <v>42815</v>
      </c>
      <c r="C53" s="15">
        <v>1703050</v>
      </c>
      <c r="D53" s="12" t="s">
        <v>45</v>
      </c>
      <c r="E53" s="30"/>
      <c r="F53" s="25">
        <v>1250</v>
      </c>
    </row>
    <row r="54" spans="2:6" ht="15.75">
      <c r="B54" s="14">
        <v>42815</v>
      </c>
      <c r="C54" s="15">
        <v>1703051</v>
      </c>
      <c r="D54" s="16" t="s">
        <v>145</v>
      </c>
      <c r="E54" s="26">
        <f>4437+100+24096</f>
        <v>28633</v>
      </c>
      <c r="F54" s="25"/>
    </row>
    <row r="55" spans="2:6" ht="15.75">
      <c r="B55" s="14">
        <v>42816</v>
      </c>
      <c r="C55" s="15">
        <v>1703052</v>
      </c>
      <c r="D55" s="12" t="s">
        <v>15</v>
      </c>
      <c r="E55" s="26"/>
      <c r="F55" s="25">
        <v>1500</v>
      </c>
    </row>
    <row r="56" spans="2:6" ht="15.75">
      <c r="B56" s="14">
        <v>42816</v>
      </c>
      <c r="C56" s="15">
        <v>1703053</v>
      </c>
      <c r="D56" s="16" t="s">
        <v>146</v>
      </c>
      <c r="E56" s="26">
        <f>100+26019+100+117292+100+14750</f>
        <v>158361</v>
      </c>
      <c r="F56" s="25"/>
    </row>
    <row r="57" spans="2:6" ht="15.75">
      <c r="B57" s="14">
        <v>42817</v>
      </c>
      <c r="C57" s="15">
        <v>1703054</v>
      </c>
      <c r="D57" s="16" t="s">
        <v>16</v>
      </c>
      <c r="E57" s="26"/>
      <c r="F57" s="25">
        <v>4000</v>
      </c>
    </row>
    <row r="58" spans="2:6" ht="15.75">
      <c r="B58" s="14">
        <v>42817</v>
      </c>
      <c r="C58" s="15">
        <v>1703055</v>
      </c>
      <c r="D58" s="16" t="s">
        <v>10</v>
      </c>
      <c r="E58" s="25"/>
      <c r="F58" s="25">
        <v>500</v>
      </c>
    </row>
    <row r="59" spans="2:6" ht="15.75">
      <c r="B59" s="14">
        <v>42817</v>
      </c>
      <c r="C59" s="15">
        <v>1703056</v>
      </c>
      <c r="D59" s="16" t="s">
        <v>148</v>
      </c>
      <c r="E59" s="25">
        <f>100+10620</f>
        <v>10720</v>
      </c>
      <c r="F59" s="25"/>
    </row>
    <row r="60" spans="2:6" ht="15.75">
      <c r="B60" s="14">
        <v>42818</v>
      </c>
      <c r="C60" s="15">
        <v>1703057</v>
      </c>
      <c r="D60" s="16" t="s">
        <v>149</v>
      </c>
      <c r="E60" s="26">
        <v>112000</v>
      </c>
      <c r="F60" s="26"/>
    </row>
    <row r="61" spans="2:6" ht="15.75">
      <c r="B61" s="14">
        <v>42818</v>
      </c>
      <c r="C61" s="15">
        <v>1703058</v>
      </c>
      <c r="D61" s="16" t="s">
        <v>72</v>
      </c>
      <c r="E61" s="26">
        <v>300000</v>
      </c>
      <c r="F61" s="26"/>
    </row>
    <row r="62" spans="2:6" ht="15.75">
      <c r="B62" s="14">
        <v>42818</v>
      </c>
      <c r="C62" s="15">
        <v>1703059</v>
      </c>
      <c r="D62" s="16" t="s">
        <v>5</v>
      </c>
      <c r="E62" s="26"/>
      <c r="F62" s="26">
        <v>10000</v>
      </c>
    </row>
    <row r="63" spans="2:6" ht="15.75">
      <c r="B63" s="14">
        <v>42819</v>
      </c>
      <c r="C63" s="15">
        <v>1703060</v>
      </c>
      <c r="D63" s="16" t="s">
        <v>150</v>
      </c>
      <c r="E63" s="26"/>
      <c r="F63" s="26">
        <v>29500</v>
      </c>
    </row>
    <row r="64" spans="2:6" ht="15.75">
      <c r="B64" s="14">
        <v>42821</v>
      </c>
      <c r="C64" s="15">
        <v>1703061</v>
      </c>
      <c r="D64" s="16" t="s">
        <v>151</v>
      </c>
      <c r="E64" s="26">
        <f>100+111203+100+20060+5441</f>
        <v>136904</v>
      </c>
      <c r="F64" s="26"/>
    </row>
    <row r="65" spans="2:6" ht="15.75">
      <c r="B65" s="14">
        <v>42822</v>
      </c>
      <c r="C65" s="15">
        <v>1703062</v>
      </c>
      <c r="D65" s="16" t="s">
        <v>5</v>
      </c>
      <c r="E65" s="26"/>
      <c r="F65" s="26">
        <v>5000</v>
      </c>
    </row>
    <row r="66" spans="2:6" ht="15.75">
      <c r="B66" s="14">
        <v>42822</v>
      </c>
      <c r="C66" s="15">
        <v>1703063</v>
      </c>
      <c r="D66" s="16" t="s">
        <v>15</v>
      </c>
      <c r="E66" s="26"/>
      <c r="F66" s="26">
        <v>1500</v>
      </c>
    </row>
    <row r="67" spans="2:6" ht="15.75">
      <c r="B67" s="14">
        <v>42823</v>
      </c>
      <c r="C67" s="15">
        <v>1703064</v>
      </c>
      <c r="D67" s="16" t="s">
        <v>152</v>
      </c>
      <c r="E67" s="26"/>
      <c r="F67" s="26">
        <v>4460</v>
      </c>
    </row>
    <row r="68" spans="2:6" ht="15.75">
      <c r="B68" s="14">
        <v>42823</v>
      </c>
      <c r="C68" s="15">
        <v>1703065</v>
      </c>
      <c r="D68" s="16" t="s">
        <v>153</v>
      </c>
      <c r="E68" s="26">
        <f>100+72497+100+20107+100+17228+100+12698+100+48191</f>
        <v>171221</v>
      </c>
      <c r="F68" s="26"/>
    </row>
    <row r="69" spans="2:6" ht="15.75">
      <c r="B69" s="14">
        <v>42824</v>
      </c>
      <c r="C69" s="15">
        <v>1703066</v>
      </c>
      <c r="D69" s="16" t="s">
        <v>42</v>
      </c>
      <c r="E69" s="26"/>
      <c r="F69" s="26">
        <v>60000</v>
      </c>
    </row>
    <row r="70" spans="2:6" ht="15.75">
      <c r="B70" s="14">
        <v>42824</v>
      </c>
      <c r="C70" s="15">
        <v>1703067</v>
      </c>
      <c r="D70" s="16" t="s">
        <v>154</v>
      </c>
      <c r="E70" s="26"/>
      <c r="F70" s="26">
        <v>79120</v>
      </c>
    </row>
    <row r="71" spans="2:6" ht="15.75">
      <c r="B71" s="14">
        <v>42824</v>
      </c>
      <c r="C71" s="15">
        <v>1703068</v>
      </c>
      <c r="D71" s="16" t="s">
        <v>19</v>
      </c>
      <c r="E71" s="26"/>
      <c r="F71" s="26">
        <v>120000</v>
      </c>
    </row>
    <row r="72" spans="2:6" ht="15.75">
      <c r="B72" s="14">
        <v>42824</v>
      </c>
      <c r="C72" s="15">
        <v>1703069</v>
      </c>
      <c r="D72" s="16" t="s">
        <v>155</v>
      </c>
      <c r="E72" s="26"/>
      <c r="F72" s="26">
        <v>31000</v>
      </c>
    </row>
    <row r="73" spans="2:6" ht="15.75">
      <c r="B73" s="14">
        <v>42825</v>
      </c>
      <c r="C73" s="15">
        <v>1703070</v>
      </c>
      <c r="D73" s="16" t="s">
        <v>156</v>
      </c>
      <c r="E73" s="26"/>
      <c r="F73" s="26">
        <v>4000</v>
      </c>
    </row>
    <row r="74" spans="2:6" ht="15.75">
      <c r="B74" s="14">
        <v>42825</v>
      </c>
      <c r="C74" s="15">
        <v>1703071</v>
      </c>
      <c r="D74" s="16" t="s">
        <v>157</v>
      </c>
      <c r="E74" s="26"/>
      <c r="F74" s="26">
        <v>11000</v>
      </c>
    </row>
    <row r="75" spans="2:6" ht="15.75">
      <c r="B75" s="14">
        <v>42825</v>
      </c>
      <c r="C75" s="15">
        <v>1703072</v>
      </c>
      <c r="D75" s="16" t="s">
        <v>45</v>
      </c>
      <c r="E75" s="26"/>
      <c r="F75" s="26">
        <v>2500</v>
      </c>
    </row>
    <row r="76" spans="2:6" ht="15.75">
      <c r="B76" s="14">
        <v>42825</v>
      </c>
      <c r="C76" s="15">
        <v>1703073</v>
      </c>
      <c r="D76" s="16" t="s">
        <v>158</v>
      </c>
      <c r="E76" s="26"/>
      <c r="F76" s="26">
        <v>16500</v>
      </c>
    </row>
    <row r="77" spans="2:6" ht="15.75">
      <c r="B77" s="18"/>
      <c r="C77" s="19"/>
      <c r="D77" s="20"/>
      <c r="E77" s="25">
        <f>SUM(E3:E76)</f>
        <v>2861799</v>
      </c>
      <c r="F77" s="25">
        <f>SUM(F3:F76)</f>
        <v>1257578</v>
      </c>
    </row>
    <row r="78" spans="2:6">
      <c r="B78" s="5"/>
      <c r="C78" s="27"/>
    </row>
    <row r="79" spans="2:6">
      <c r="B79" s="5"/>
      <c r="C79" s="27"/>
      <c r="E79" s="21" t="s">
        <v>6</v>
      </c>
      <c r="F79" s="17">
        <f>E77-F77</f>
        <v>1604221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63"/>
  <sheetViews>
    <sheetView topLeftCell="A49" workbookViewId="0">
      <selection activeCell="F63" sqref="B2:F63"/>
    </sheetView>
  </sheetViews>
  <sheetFormatPr baseColWidth="10" defaultRowHeight="15"/>
  <cols>
    <col min="3" max="3" width="11.28515625" customWidth="1"/>
    <col min="4" max="4" width="46.140625" bestFit="1" customWidth="1"/>
    <col min="5" max="6" width="14.140625" bestFit="1" customWidth="1"/>
    <col min="9" max="9" width="11.7109375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42826</v>
      </c>
      <c r="C3" s="22"/>
      <c r="D3" s="8" t="s">
        <v>147</v>
      </c>
      <c r="E3" s="24">
        <f>'MARS 2017'!F79</f>
        <v>1604221</v>
      </c>
      <c r="F3" s="24"/>
    </row>
    <row r="4" spans="2:6" ht="15.75">
      <c r="B4" s="10">
        <v>42826</v>
      </c>
      <c r="C4" s="11">
        <v>1704001</v>
      </c>
      <c r="D4" s="12" t="s">
        <v>159</v>
      </c>
      <c r="E4" s="25"/>
      <c r="F4" s="25">
        <v>20000</v>
      </c>
    </row>
    <row r="5" spans="2:6" ht="15.75">
      <c r="B5" s="14">
        <v>42826</v>
      </c>
      <c r="C5" s="15">
        <v>1704002</v>
      </c>
      <c r="D5" s="16" t="s">
        <v>160</v>
      </c>
      <c r="E5" s="26"/>
      <c r="F5" s="26">
        <v>3000</v>
      </c>
    </row>
    <row r="6" spans="2:6" ht="15.75">
      <c r="B6" s="14">
        <v>42826</v>
      </c>
      <c r="C6" s="11">
        <v>1704003</v>
      </c>
      <c r="D6" s="12" t="s">
        <v>161</v>
      </c>
      <c r="E6" s="26"/>
      <c r="F6" s="26">
        <v>7000</v>
      </c>
    </row>
    <row r="7" spans="2:6" ht="15.75">
      <c r="B7" s="14">
        <v>42826</v>
      </c>
      <c r="C7" s="15">
        <v>1704004</v>
      </c>
      <c r="D7" s="16" t="s">
        <v>162</v>
      </c>
      <c r="E7" s="26"/>
      <c r="F7" s="26">
        <v>2000</v>
      </c>
    </row>
    <row r="8" spans="2:6" ht="15.75">
      <c r="B8" s="14">
        <v>42828</v>
      </c>
      <c r="C8" s="11">
        <v>1704005</v>
      </c>
      <c r="D8" s="16" t="s">
        <v>8</v>
      </c>
      <c r="E8" s="26"/>
      <c r="F8" s="26">
        <v>22815</v>
      </c>
    </row>
    <row r="9" spans="2:6" ht="15.75">
      <c r="B9" s="14">
        <v>42828</v>
      </c>
      <c r="C9" s="15">
        <v>1704006</v>
      </c>
      <c r="D9" s="12" t="s">
        <v>163</v>
      </c>
      <c r="E9" s="26"/>
      <c r="F9" s="26">
        <v>31990</v>
      </c>
    </row>
    <row r="10" spans="2:6" ht="15.75">
      <c r="B10" s="14">
        <v>42828</v>
      </c>
      <c r="C10" s="11">
        <v>1704007</v>
      </c>
      <c r="D10" s="12" t="s">
        <v>159</v>
      </c>
      <c r="E10" s="26"/>
      <c r="F10" s="26">
        <v>20000</v>
      </c>
    </row>
    <row r="11" spans="2:6" ht="15.75">
      <c r="B11" s="14">
        <v>42828</v>
      </c>
      <c r="C11" s="15">
        <v>1704008</v>
      </c>
      <c r="D11" s="12" t="s">
        <v>164</v>
      </c>
      <c r="E11" s="26">
        <v>3894</v>
      </c>
      <c r="F11" s="26"/>
    </row>
    <row r="12" spans="2:6" ht="15.75">
      <c r="B12" s="14">
        <v>42829</v>
      </c>
      <c r="C12" s="11">
        <v>1704009</v>
      </c>
      <c r="D12" s="12" t="s">
        <v>165</v>
      </c>
      <c r="E12" s="26"/>
      <c r="F12" s="26">
        <v>40000</v>
      </c>
    </row>
    <row r="13" spans="2:6" ht="15.75">
      <c r="B13" s="14">
        <v>42829</v>
      </c>
      <c r="C13" s="15">
        <v>1704010</v>
      </c>
      <c r="D13" s="16" t="s">
        <v>166</v>
      </c>
      <c r="E13" s="26"/>
      <c r="F13" s="26">
        <v>20000</v>
      </c>
    </row>
    <row r="14" spans="2:6" ht="15.75">
      <c r="B14" s="14">
        <v>42829</v>
      </c>
      <c r="C14" s="11">
        <v>1704011</v>
      </c>
      <c r="D14" s="16" t="s">
        <v>167</v>
      </c>
      <c r="E14" s="26">
        <f>3304</f>
        <v>3304</v>
      </c>
      <c r="F14" s="26"/>
    </row>
    <row r="15" spans="2:6" ht="15.75">
      <c r="B15" s="14">
        <v>42830</v>
      </c>
      <c r="C15" s="15">
        <v>1704012</v>
      </c>
      <c r="D15" s="16" t="s">
        <v>168</v>
      </c>
      <c r="E15" s="26"/>
      <c r="F15" s="26">
        <v>30000</v>
      </c>
    </row>
    <row r="16" spans="2:6" ht="15.75">
      <c r="B16" s="14">
        <v>42830</v>
      </c>
      <c r="C16" s="11">
        <v>1704013</v>
      </c>
      <c r="D16" s="16" t="s">
        <v>169</v>
      </c>
      <c r="E16" s="26"/>
      <c r="F16" s="26">
        <v>67024</v>
      </c>
    </row>
    <row r="17" spans="2:6" ht="15.75">
      <c r="B17" s="14">
        <v>42830</v>
      </c>
      <c r="C17" s="15">
        <v>1704014</v>
      </c>
      <c r="D17" s="16" t="s">
        <v>170</v>
      </c>
      <c r="E17" s="26">
        <f>100+18616+100+15045+100+18910+100+39719</f>
        <v>92690</v>
      </c>
      <c r="F17" s="26"/>
    </row>
    <row r="18" spans="2:6" ht="15.75">
      <c r="B18" s="14">
        <v>42830</v>
      </c>
      <c r="C18" s="11">
        <v>1704015</v>
      </c>
      <c r="D18" s="16" t="s">
        <v>10</v>
      </c>
      <c r="E18" s="26"/>
      <c r="F18" s="26">
        <v>500</v>
      </c>
    </row>
    <row r="19" spans="2:6" s="32" customFormat="1" ht="15.75">
      <c r="B19" s="6">
        <v>42831</v>
      </c>
      <c r="C19" s="34">
        <v>1704016</v>
      </c>
      <c r="D19" s="37" t="s">
        <v>546</v>
      </c>
      <c r="E19" s="24"/>
      <c r="F19" s="24">
        <v>300000</v>
      </c>
    </row>
    <row r="20" spans="2:6" ht="15.75">
      <c r="B20" s="14">
        <v>42831</v>
      </c>
      <c r="C20" s="11">
        <v>1704017</v>
      </c>
      <c r="D20" s="16" t="s">
        <v>171</v>
      </c>
      <c r="E20" s="26"/>
      <c r="F20" s="26">
        <v>10000</v>
      </c>
    </row>
    <row r="21" spans="2:6" ht="15.75">
      <c r="B21" s="14">
        <v>42832</v>
      </c>
      <c r="C21" s="15">
        <v>1704018</v>
      </c>
      <c r="D21" s="12" t="s">
        <v>165</v>
      </c>
      <c r="E21" s="26"/>
      <c r="F21" s="26">
        <v>30000</v>
      </c>
    </row>
    <row r="22" spans="2:6" ht="15.75">
      <c r="B22" s="14">
        <v>42832</v>
      </c>
      <c r="C22" s="11">
        <v>1704019</v>
      </c>
      <c r="D22" s="16" t="s">
        <v>172</v>
      </c>
      <c r="E22" s="26"/>
      <c r="F22" s="26">
        <v>5000</v>
      </c>
    </row>
    <row r="23" spans="2:6" ht="15.75">
      <c r="B23" s="14">
        <v>42832</v>
      </c>
      <c r="C23" s="15">
        <v>1704020</v>
      </c>
      <c r="D23" s="16" t="s">
        <v>173</v>
      </c>
      <c r="E23" s="26">
        <f>100+11328</f>
        <v>11428</v>
      </c>
      <c r="F23" s="26"/>
    </row>
    <row r="24" spans="2:6" ht="15.75">
      <c r="B24" s="14">
        <v>42833</v>
      </c>
      <c r="C24" s="11">
        <v>1704021</v>
      </c>
      <c r="D24" s="16" t="s">
        <v>174</v>
      </c>
      <c r="E24" s="26">
        <f>100+7823</f>
        <v>7923</v>
      </c>
      <c r="F24" s="26"/>
    </row>
    <row r="25" spans="2:6" ht="15.75">
      <c r="B25" s="14">
        <v>42833</v>
      </c>
      <c r="C25" s="15">
        <v>1704022</v>
      </c>
      <c r="D25" s="16" t="s">
        <v>175</v>
      </c>
      <c r="E25" s="26"/>
      <c r="F25" s="26">
        <v>2500</v>
      </c>
    </row>
    <row r="26" spans="2:6" ht="15.75">
      <c r="B26" s="14">
        <v>42835</v>
      </c>
      <c r="C26" s="11">
        <v>1704023</v>
      </c>
      <c r="D26" s="16" t="s">
        <v>176</v>
      </c>
      <c r="E26" s="26"/>
      <c r="F26" s="26">
        <v>5000</v>
      </c>
    </row>
    <row r="27" spans="2:6" ht="15.75">
      <c r="B27" s="14">
        <v>42835</v>
      </c>
      <c r="C27" s="15">
        <v>1704024</v>
      </c>
      <c r="D27" s="16" t="s">
        <v>177</v>
      </c>
      <c r="E27" s="26">
        <f>100+51920</f>
        <v>52020</v>
      </c>
      <c r="F27" s="26"/>
    </row>
    <row r="28" spans="2:6" ht="15.75">
      <c r="B28" s="14">
        <v>42836</v>
      </c>
      <c r="C28" s="11">
        <v>1704025</v>
      </c>
      <c r="D28" s="12" t="s">
        <v>159</v>
      </c>
      <c r="E28" s="26"/>
      <c r="F28" s="26">
        <v>20000</v>
      </c>
    </row>
    <row r="29" spans="2:6" ht="15.75">
      <c r="B29" s="14">
        <v>42836</v>
      </c>
      <c r="C29" s="15">
        <v>1704026</v>
      </c>
      <c r="D29" s="12" t="s">
        <v>29</v>
      </c>
      <c r="E29" s="26"/>
      <c r="F29" s="26">
        <v>20000</v>
      </c>
    </row>
    <row r="30" spans="2:6" ht="15.75">
      <c r="B30" s="14">
        <v>42836</v>
      </c>
      <c r="C30" s="11">
        <v>1704027</v>
      </c>
      <c r="D30" s="16" t="s">
        <v>178</v>
      </c>
      <c r="E30" s="26">
        <f>4012</f>
        <v>4012</v>
      </c>
      <c r="F30" s="24"/>
    </row>
    <row r="31" spans="2:6" ht="15.75">
      <c r="B31" s="14">
        <v>42837</v>
      </c>
      <c r="C31" s="15">
        <v>1704028</v>
      </c>
      <c r="D31" s="12" t="s">
        <v>179</v>
      </c>
      <c r="E31" s="26"/>
      <c r="F31" s="26">
        <v>10000</v>
      </c>
    </row>
    <row r="32" spans="2:6" ht="15.75">
      <c r="B32" s="14">
        <v>42837</v>
      </c>
      <c r="C32" s="11">
        <v>1704029</v>
      </c>
      <c r="D32" s="16" t="s">
        <v>180</v>
      </c>
      <c r="E32" s="26">
        <f>3257</f>
        <v>3257</v>
      </c>
      <c r="F32" s="26"/>
    </row>
    <row r="33" spans="2:6" ht="15.75">
      <c r="B33" s="14">
        <v>42838</v>
      </c>
      <c r="C33" s="15">
        <v>1704030</v>
      </c>
      <c r="D33" s="12" t="s">
        <v>181</v>
      </c>
      <c r="E33" s="26">
        <f>100+7823+4602</f>
        <v>12525</v>
      </c>
      <c r="F33" s="26"/>
    </row>
    <row r="34" spans="2:6" ht="15.75">
      <c r="B34" s="14">
        <v>42839</v>
      </c>
      <c r="C34" s="11">
        <v>1704031</v>
      </c>
      <c r="D34" s="12" t="s">
        <v>10</v>
      </c>
      <c r="E34" s="26"/>
      <c r="F34" s="26">
        <v>1000</v>
      </c>
    </row>
    <row r="35" spans="2:6" ht="15.75">
      <c r="B35" s="14">
        <v>42840</v>
      </c>
      <c r="C35" s="15">
        <v>1704032</v>
      </c>
      <c r="D35" s="28" t="s">
        <v>162</v>
      </c>
      <c r="E35" s="26"/>
      <c r="F35" s="29">
        <v>2000</v>
      </c>
    </row>
    <row r="36" spans="2:6" ht="15.75">
      <c r="B36" s="14">
        <v>42840</v>
      </c>
      <c r="C36" s="11">
        <v>1704033</v>
      </c>
      <c r="D36" s="16" t="s">
        <v>182</v>
      </c>
      <c r="E36" s="26">
        <f>100+10930</f>
        <v>11030</v>
      </c>
      <c r="F36" s="26"/>
    </row>
    <row r="37" spans="2:6" ht="15.75">
      <c r="B37" s="14">
        <v>42842</v>
      </c>
      <c r="C37" s="15">
        <v>1704034</v>
      </c>
      <c r="D37" s="12" t="s">
        <v>183</v>
      </c>
      <c r="E37" s="26"/>
      <c r="F37" s="26">
        <v>20000</v>
      </c>
    </row>
    <row r="38" spans="2:6" ht="15.75">
      <c r="B38" s="14">
        <v>42843</v>
      </c>
      <c r="C38" s="11">
        <v>1704035</v>
      </c>
      <c r="D38" s="16" t="s">
        <v>184</v>
      </c>
      <c r="E38" s="26">
        <f>3564+500+100300+100+47200</f>
        <v>151664</v>
      </c>
      <c r="F38" s="26"/>
    </row>
    <row r="39" spans="2:6" ht="15.75">
      <c r="B39" s="14">
        <v>42844</v>
      </c>
      <c r="C39" s="15">
        <v>1704036</v>
      </c>
      <c r="D39" s="16" t="s">
        <v>173</v>
      </c>
      <c r="E39" s="26">
        <f>100+9440</f>
        <v>9540</v>
      </c>
      <c r="F39" s="26"/>
    </row>
    <row r="40" spans="2:6" ht="15.75">
      <c r="B40" s="14">
        <v>42844</v>
      </c>
      <c r="C40" s="11">
        <v>1704037</v>
      </c>
      <c r="D40" s="16" t="s">
        <v>185</v>
      </c>
      <c r="E40" s="26"/>
      <c r="F40" s="26">
        <v>400</v>
      </c>
    </row>
    <row r="41" spans="2:6" ht="15.75">
      <c r="B41" s="14">
        <v>42844</v>
      </c>
      <c r="C41" s="15">
        <v>1704038</v>
      </c>
      <c r="D41" s="16" t="s">
        <v>186</v>
      </c>
      <c r="E41" s="26"/>
      <c r="F41" s="26">
        <v>3175</v>
      </c>
    </row>
    <row r="42" spans="2:6" ht="15.75">
      <c r="B42" s="14">
        <v>42844</v>
      </c>
      <c r="C42" s="11">
        <v>1704039</v>
      </c>
      <c r="D42" s="16" t="s">
        <v>187</v>
      </c>
      <c r="E42" s="26">
        <f>100+7021+100+8496+4564</f>
        <v>20281</v>
      </c>
      <c r="F42" s="26"/>
    </row>
    <row r="43" spans="2:6" ht="15.75">
      <c r="B43" s="14">
        <v>42845</v>
      </c>
      <c r="C43" s="15">
        <v>1704040</v>
      </c>
      <c r="D43" s="16" t="s">
        <v>45</v>
      </c>
      <c r="E43" s="26"/>
      <c r="F43" s="26">
        <v>2500</v>
      </c>
    </row>
    <row r="44" spans="2:6" ht="15.75">
      <c r="B44" s="14">
        <v>42845</v>
      </c>
      <c r="C44" s="11">
        <v>1704041</v>
      </c>
      <c r="D44" s="16" t="s">
        <v>188</v>
      </c>
      <c r="E44" s="25"/>
      <c r="F44" s="25">
        <v>15100</v>
      </c>
    </row>
    <row r="45" spans="2:6" ht="15.75">
      <c r="B45" s="14">
        <v>42846</v>
      </c>
      <c r="C45" s="15">
        <v>1704042</v>
      </c>
      <c r="D45" s="16" t="s">
        <v>189</v>
      </c>
      <c r="E45" s="25"/>
      <c r="F45" s="25">
        <v>35000</v>
      </c>
    </row>
    <row r="46" spans="2:6" ht="15.75">
      <c r="B46" s="14">
        <v>42847</v>
      </c>
      <c r="C46" s="11">
        <v>1704043</v>
      </c>
      <c r="D46" s="16" t="s">
        <v>190</v>
      </c>
      <c r="E46" s="25"/>
      <c r="F46" s="25">
        <v>75000</v>
      </c>
    </row>
    <row r="47" spans="2:6" ht="15.75">
      <c r="B47" s="14">
        <v>42847</v>
      </c>
      <c r="C47" s="15">
        <v>1704044</v>
      </c>
      <c r="D47" s="16" t="s">
        <v>191</v>
      </c>
      <c r="E47" s="25"/>
      <c r="F47" s="25">
        <v>10000</v>
      </c>
    </row>
    <row r="48" spans="2:6" ht="15.75">
      <c r="B48" s="14">
        <v>42849</v>
      </c>
      <c r="C48" s="11">
        <v>1704045</v>
      </c>
      <c r="D48" s="16" t="s">
        <v>192</v>
      </c>
      <c r="E48" s="25">
        <f>100+32568</f>
        <v>32668</v>
      </c>
      <c r="F48" s="25"/>
    </row>
    <row r="49" spans="2:6" ht="15.75">
      <c r="B49" s="14">
        <v>42850</v>
      </c>
      <c r="C49" s="15">
        <v>1704046</v>
      </c>
      <c r="D49" s="16" t="s">
        <v>193</v>
      </c>
      <c r="E49" s="26">
        <f>100+34220+100+38043</f>
        <v>72463</v>
      </c>
      <c r="F49" s="26"/>
    </row>
    <row r="50" spans="2:6" ht="15.75">
      <c r="B50" s="14">
        <v>42851</v>
      </c>
      <c r="C50" s="11">
        <v>1704047</v>
      </c>
      <c r="D50" s="16" t="s">
        <v>14</v>
      </c>
      <c r="E50" s="26"/>
      <c r="F50" s="26">
        <v>187400</v>
      </c>
    </row>
    <row r="51" spans="2:6" ht="15.75">
      <c r="B51" s="14">
        <v>42851</v>
      </c>
      <c r="C51" s="15">
        <v>1704048</v>
      </c>
      <c r="D51" s="16" t="s">
        <v>194</v>
      </c>
      <c r="E51" s="25">
        <f>100+8800</f>
        <v>8900</v>
      </c>
      <c r="F51" s="25"/>
    </row>
    <row r="52" spans="2:6" ht="15.75">
      <c r="B52" s="14">
        <v>42852</v>
      </c>
      <c r="C52" s="11">
        <v>1704049</v>
      </c>
      <c r="D52" s="12" t="s">
        <v>183</v>
      </c>
      <c r="E52" s="25"/>
      <c r="F52" s="25">
        <v>10000</v>
      </c>
    </row>
    <row r="53" spans="2:6" ht="15.75">
      <c r="B53" s="14">
        <v>42852</v>
      </c>
      <c r="C53" s="15">
        <v>1704050</v>
      </c>
      <c r="D53" s="16" t="s">
        <v>195</v>
      </c>
      <c r="E53" s="25"/>
      <c r="F53" s="25">
        <v>35000</v>
      </c>
    </row>
    <row r="54" spans="2:6" ht="15.75">
      <c r="B54" s="14">
        <v>42852</v>
      </c>
      <c r="C54" s="11">
        <v>1704051</v>
      </c>
      <c r="D54" s="16" t="s">
        <v>196</v>
      </c>
      <c r="E54" s="25">
        <f>100+9440+100+9440</f>
        <v>19080</v>
      </c>
      <c r="F54" s="25"/>
    </row>
    <row r="55" spans="2:6" ht="15.75">
      <c r="B55" s="14">
        <v>42853</v>
      </c>
      <c r="C55" s="11">
        <v>1704052</v>
      </c>
      <c r="D55" s="16" t="s">
        <v>17</v>
      </c>
      <c r="E55" s="25"/>
      <c r="F55" s="25">
        <v>2253</v>
      </c>
    </row>
    <row r="56" spans="2:6" ht="15.75">
      <c r="B56" s="14">
        <v>42853</v>
      </c>
      <c r="C56" s="15">
        <v>1704053</v>
      </c>
      <c r="D56" s="16" t="s">
        <v>7</v>
      </c>
      <c r="E56" s="25"/>
      <c r="F56" s="25">
        <v>23490</v>
      </c>
    </row>
    <row r="57" spans="2:6" ht="15.75">
      <c r="B57" s="14">
        <v>42853</v>
      </c>
      <c r="C57" s="11">
        <v>1704054</v>
      </c>
      <c r="D57" s="16" t="s">
        <v>197</v>
      </c>
      <c r="E57" s="25"/>
      <c r="F57" s="25">
        <v>30000</v>
      </c>
    </row>
    <row r="58" spans="2:6" ht="15.75">
      <c r="B58" s="14">
        <v>42853</v>
      </c>
      <c r="C58" s="15">
        <v>1704055</v>
      </c>
      <c r="D58" s="16" t="s">
        <v>198</v>
      </c>
      <c r="E58" s="25">
        <f>5664</f>
        <v>5664</v>
      </c>
      <c r="F58" s="25"/>
    </row>
    <row r="59" spans="2:6" ht="15.75">
      <c r="B59" s="14">
        <v>42854</v>
      </c>
      <c r="C59" s="11">
        <v>1704056</v>
      </c>
      <c r="D59" s="16" t="s">
        <v>199</v>
      </c>
      <c r="E59" s="25">
        <f>100+17704</f>
        <v>17804</v>
      </c>
      <c r="F59" s="25"/>
    </row>
    <row r="60" spans="2:6" ht="15.75">
      <c r="B60" s="14">
        <v>42854</v>
      </c>
      <c r="C60" s="15">
        <v>1704057</v>
      </c>
      <c r="D60" s="16" t="s">
        <v>200</v>
      </c>
      <c r="E60" s="25"/>
      <c r="F60" s="25">
        <v>5500</v>
      </c>
    </row>
    <row r="61" spans="2:6" ht="15.75">
      <c r="B61" s="18"/>
      <c r="C61" s="19"/>
      <c r="D61" s="20"/>
      <c r="E61" s="25">
        <f>SUM(E3:E60)</f>
        <v>2144368</v>
      </c>
      <c r="F61" s="25">
        <f>SUM(F3:F60)</f>
        <v>1124647</v>
      </c>
    </row>
    <row r="62" spans="2:6">
      <c r="B62" s="5"/>
      <c r="C62" s="27"/>
    </row>
    <row r="63" spans="2:6">
      <c r="B63" s="5"/>
      <c r="C63" s="27"/>
      <c r="E63" s="21" t="s">
        <v>6</v>
      </c>
      <c r="F63" s="17">
        <f>E61-F61</f>
        <v>1019721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H70"/>
  <sheetViews>
    <sheetView topLeftCell="A67" workbookViewId="0">
      <selection activeCell="F70" sqref="B2:F70"/>
    </sheetView>
  </sheetViews>
  <sheetFormatPr baseColWidth="10" defaultRowHeight="15"/>
  <cols>
    <col min="2" max="2" width="12.85546875" customWidth="1"/>
    <col min="3" max="3" width="14" customWidth="1"/>
    <col min="4" max="4" width="45.7109375" bestFit="1" customWidth="1"/>
    <col min="5" max="6" width="14.140625" bestFit="1" customWidth="1"/>
    <col min="9" max="9" width="22.28515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42856</v>
      </c>
      <c r="C3" s="22"/>
      <c r="D3" s="8" t="s">
        <v>201</v>
      </c>
      <c r="E3" s="24">
        <f>'AVRIL 2017'!F63</f>
        <v>1019721</v>
      </c>
      <c r="F3" s="24"/>
    </row>
    <row r="4" spans="2:6" ht="15.75">
      <c r="B4" s="10">
        <v>42857</v>
      </c>
      <c r="C4" s="11">
        <v>1705001</v>
      </c>
      <c r="D4" s="16" t="s">
        <v>19</v>
      </c>
      <c r="E4" s="25"/>
      <c r="F4" s="25">
        <v>120000</v>
      </c>
    </row>
    <row r="5" spans="2:6" ht="15.75">
      <c r="B5" s="14">
        <v>42857</v>
      </c>
      <c r="C5" s="15">
        <v>1705002</v>
      </c>
      <c r="D5" s="16" t="s">
        <v>202</v>
      </c>
      <c r="E5" s="26"/>
      <c r="F5" s="26">
        <v>73220</v>
      </c>
    </row>
    <row r="6" spans="2:6" ht="15.75">
      <c r="B6" s="14">
        <v>42857</v>
      </c>
      <c r="C6" s="11">
        <v>1705003</v>
      </c>
      <c r="D6" s="12" t="s">
        <v>203</v>
      </c>
      <c r="E6" s="26"/>
      <c r="F6" s="26">
        <v>15000</v>
      </c>
    </row>
    <row r="7" spans="2:6" ht="15.75">
      <c r="B7" s="14">
        <v>42857</v>
      </c>
      <c r="C7" s="11">
        <v>1705004</v>
      </c>
      <c r="D7" s="12" t="s">
        <v>204</v>
      </c>
      <c r="E7" s="26">
        <f>100+13541</f>
        <v>13641</v>
      </c>
      <c r="F7" s="26"/>
    </row>
    <row r="8" spans="2:6" ht="15.75">
      <c r="B8" s="14">
        <v>42858</v>
      </c>
      <c r="C8" s="15">
        <v>1705005</v>
      </c>
      <c r="D8" s="16" t="s">
        <v>205</v>
      </c>
      <c r="E8" s="26"/>
      <c r="F8" s="26">
        <v>28500</v>
      </c>
    </row>
    <row r="9" spans="2:6" ht="15.75">
      <c r="B9" s="14">
        <v>42858</v>
      </c>
      <c r="C9" s="11">
        <v>1705006</v>
      </c>
      <c r="D9" s="12" t="s">
        <v>206</v>
      </c>
      <c r="E9" s="26">
        <f>261834</f>
        <v>261834</v>
      </c>
      <c r="F9" s="26"/>
    </row>
    <row r="10" spans="2:6" ht="15.75">
      <c r="B10" s="14">
        <v>42858</v>
      </c>
      <c r="C10" s="11">
        <v>1705007</v>
      </c>
      <c r="D10" s="16" t="s">
        <v>207</v>
      </c>
      <c r="E10" s="26">
        <f>100+16461+100+16461+100+39412+100+7222+100+9629</f>
        <v>89685</v>
      </c>
      <c r="F10" s="26"/>
    </row>
    <row r="11" spans="2:6" ht="15.75">
      <c r="B11" s="14">
        <v>42859</v>
      </c>
      <c r="C11" s="15">
        <v>1705008</v>
      </c>
      <c r="D11" s="12" t="s">
        <v>208</v>
      </c>
      <c r="E11" s="26"/>
      <c r="F11" s="26">
        <v>29972</v>
      </c>
    </row>
    <row r="12" spans="2:6" ht="15.75">
      <c r="B12" s="14">
        <v>42859</v>
      </c>
      <c r="C12" s="11">
        <v>1705009</v>
      </c>
      <c r="D12" s="16" t="s">
        <v>209</v>
      </c>
      <c r="E12" s="26"/>
      <c r="F12" s="26">
        <v>52500</v>
      </c>
    </row>
    <row r="13" spans="2:6" ht="15.75">
      <c r="B13" s="14">
        <v>42859</v>
      </c>
      <c r="C13" s="11">
        <v>1705010</v>
      </c>
      <c r="D13" s="16" t="s">
        <v>210</v>
      </c>
      <c r="E13" s="26">
        <f>100+34871+100+87300+100+20438+100+82128+100+39901</f>
        <v>265138</v>
      </c>
      <c r="F13" s="26"/>
    </row>
    <row r="14" spans="2:6" ht="15.75">
      <c r="B14" s="14">
        <v>42860</v>
      </c>
      <c r="C14" s="15">
        <v>1705011</v>
      </c>
      <c r="D14" s="16" t="s">
        <v>45</v>
      </c>
      <c r="E14" s="26"/>
      <c r="F14" s="26">
        <v>2500</v>
      </c>
    </row>
    <row r="15" spans="2:6" ht="15.75">
      <c r="B15" s="14">
        <v>42860</v>
      </c>
      <c r="C15" s="11">
        <v>1705012</v>
      </c>
      <c r="D15" s="16" t="s">
        <v>42</v>
      </c>
      <c r="E15" s="26"/>
      <c r="F15" s="26">
        <v>90000</v>
      </c>
    </row>
    <row r="16" spans="2:6" ht="15.75">
      <c r="B16" s="14">
        <v>42860</v>
      </c>
      <c r="C16" s="11">
        <v>1705013</v>
      </c>
      <c r="D16" s="16" t="s">
        <v>211</v>
      </c>
      <c r="E16" s="26">
        <v>100000</v>
      </c>
      <c r="F16" s="26"/>
    </row>
    <row r="17" spans="2:8" ht="15.75">
      <c r="B17" s="14">
        <v>42860</v>
      </c>
      <c r="C17" s="15">
        <v>1705014</v>
      </c>
      <c r="D17" s="16" t="s">
        <v>212</v>
      </c>
      <c r="E17" s="26">
        <f>100+91273</f>
        <v>91373</v>
      </c>
      <c r="F17" s="26"/>
    </row>
    <row r="18" spans="2:8" ht="15.75">
      <c r="B18" s="14">
        <v>42861</v>
      </c>
      <c r="C18" s="11">
        <v>1705015</v>
      </c>
      <c r="D18" s="16" t="s">
        <v>213</v>
      </c>
      <c r="E18" s="26"/>
      <c r="F18" s="26">
        <v>30825</v>
      </c>
    </row>
    <row r="19" spans="2:8" ht="15.75">
      <c r="B19" s="14">
        <v>42861</v>
      </c>
      <c r="C19" s="11">
        <v>1705016</v>
      </c>
      <c r="D19" s="16" t="s">
        <v>214</v>
      </c>
      <c r="E19" s="26"/>
      <c r="F19" s="26">
        <v>4500</v>
      </c>
    </row>
    <row r="20" spans="2:8" ht="15.75">
      <c r="B20" s="14">
        <v>42863</v>
      </c>
      <c r="C20" s="15">
        <v>1705017</v>
      </c>
      <c r="D20" s="16" t="s">
        <v>215</v>
      </c>
      <c r="E20" s="26"/>
      <c r="F20" s="26">
        <v>20000</v>
      </c>
    </row>
    <row r="21" spans="2:8" ht="15.75">
      <c r="B21" s="14">
        <v>42863</v>
      </c>
      <c r="C21" s="11">
        <v>1705018</v>
      </c>
      <c r="D21" s="12" t="s">
        <v>216</v>
      </c>
      <c r="E21" s="26">
        <f>4339+100+18880+100+7080+100+98000+100+8307</f>
        <v>137006</v>
      </c>
      <c r="F21" s="26"/>
    </row>
    <row r="22" spans="2:8" ht="15.75">
      <c r="B22" s="6">
        <v>42864</v>
      </c>
      <c r="C22" s="36">
        <v>1705019</v>
      </c>
      <c r="D22" s="37" t="s">
        <v>547</v>
      </c>
      <c r="E22" s="24"/>
      <c r="F22" s="24">
        <v>300000</v>
      </c>
      <c r="G22" s="32"/>
      <c r="H22" s="32"/>
    </row>
    <row r="23" spans="2:8" ht="15.75">
      <c r="B23" s="14">
        <v>42864</v>
      </c>
      <c r="C23" s="15">
        <v>1705020</v>
      </c>
      <c r="D23" s="12" t="s">
        <v>217</v>
      </c>
      <c r="E23" s="26"/>
      <c r="F23" s="26">
        <v>10000</v>
      </c>
    </row>
    <row r="24" spans="2:8" ht="15.75">
      <c r="B24" s="14">
        <v>42864</v>
      </c>
      <c r="C24" s="11">
        <v>1705021</v>
      </c>
      <c r="D24" s="16" t="s">
        <v>218</v>
      </c>
      <c r="E24" s="26">
        <f>4413+100+40356</f>
        <v>44869</v>
      </c>
      <c r="F24" s="26"/>
    </row>
    <row r="25" spans="2:8" ht="15.75">
      <c r="B25" s="14">
        <v>42865</v>
      </c>
      <c r="C25" s="11">
        <v>1705022</v>
      </c>
      <c r="D25" s="16" t="s">
        <v>122</v>
      </c>
      <c r="E25" s="26"/>
      <c r="F25" s="26">
        <v>500</v>
      </c>
    </row>
    <row r="26" spans="2:8" ht="15.75">
      <c r="B26" s="14">
        <v>42866</v>
      </c>
      <c r="C26" s="15">
        <v>1705023</v>
      </c>
      <c r="D26" s="16" t="s">
        <v>72</v>
      </c>
      <c r="E26" s="26">
        <v>400000</v>
      </c>
      <c r="F26" s="26"/>
    </row>
    <row r="27" spans="2:8" ht="15.75">
      <c r="B27" s="14">
        <v>42866</v>
      </c>
      <c r="C27" s="11">
        <v>1705024</v>
      </c>
      <c r="D27" s="12" t="s">
        <v>219</v>
      </c>
      <c r="E27" s="26">
        <f>3800+100+8496</f>
        <v>12396</v>
      </c>
      <c r="F27" s="26"/>
    </row>
    <row r="28" spans="2:8" ht="15.75">
      <c r="B28" s="14">
        <v>42867</v>
      </c>
      <c r="C28" s="11">
        <v>1705025</v>
      </c>
      <c r="D28" s="16" t="s">
        <v>8</v>
      </c>
      <c r="E28" s="26"/>
      <c r="F28" s="26">
        <f>74213+100</f>
        <v>74313</v>
      </c>
    </row>
    <row r="29" spans="2:8" ht="15.75">
      <c r="B29" s="14">
        <v>42867</v>
      </c>
      <c r="C29" s="15">
        <v>1705026</v>
      </c>
      <c r="D29" s="12" t="s">
        <v>8</v>
      </c>
      <c r="E29" s="26"/>
      <c r="F29" s="26">
        <f>15104+100</f>
        <v>15204</v>
      </c>
    </row>
    <row r="30" spans="2:8" ht="15.75">
      <c r="B30" s="14">
        <v>42867</v>
      </c>
      <c r="C30" s="11">
        <v>1705027</v>
      </c>
      <c r="D30" s="12" t="s">
        <v>220</v>
      </c>
      <c r="E30" s="26"/>
      <c r="F30" s="26">
        <v>50000</v>
      </c>
    </row>
    <row r="31" spans="2:8" ht="15.75">
      <c r="B31" s="14">
        <v>42867</v>
      </c>
      <c r="C31" s="11">
        <v>1705028</v>
      </c>
      <c r="D31" s="12" t="s">
        <v>221</v>
      </c>
      <c r="E31" s="26">
        <f>100+34250+100+14764</f>
        <v>49214</v>
      </c>
      <c r="F31" s="26"/>
    </row>
    <row r="32" spans="2:8" ht="15.75">
      <c r="B32" s="14">
        <v>4</v>
      </c>
      <c r="C32" s="15">
        <v>1705029</v>
      </c>
      <c r="D32" s="16" t="s">
        <v>222</v>
      </c>
      <c r="E32" s="26"/>
      <c r="F32" s="26">
        <v>100000</v>
      </c>
    </row>
    <row r="33" spans="2:6" ht="15.75">
      <c r="B33" s="14">
        <v>42868</v>
      </c>
      <c r="C33" s="11">
        <v>1705030</v>
      </c>
      <c r="D33" s="12" t="s">
        <v>217</v>
      </c>
      <c r="E33" s="26"/>
      <c r="F33" s="26">
        <v>20000</v>
      </c>
    </row>
    <row r="34" spans="2:6" ht="15.75">
      <c r="B34" s="14">
        <v>42868</v>
      </c>
      <c r="C34" s="11">
        <v>1705031</v>
      </c>
      <c r="D34" s="12" t="s">
        <v>223</v>
      </c>
      <c r="E34" s="26"/>
      <c r="F34" s="26">
        <v>10000</v>
      </c>
    </row>
    <row r="35" spans="2:6" ht="15.75">
      <c r="B35" s="14">
        <v>42868</v>
      </c>
      <c r="C35" s="15">
        <v>1705032</v>
      </c>
      <c r="D35" s="16" t="s">
        <v>224</v>
      </c>
      <c r="E35" s="26"/>
      <c r="F35" s="29">
        <v>9000</v>
      </c>
    </row>
    <row r="36" spans="2:6" ht="15.75">
      <c r="B36" s="14">
        <v>42870</v>
      </c>
      <c r="C36" s="11">
        <v>1705033</v>
      </c>
      <c r="D36" s="12" t="s">
        <v>217</v>
      </c>
      <c r="E36" s="26"/>
      <c r="F36" s="26">
        <v>20000</v>
      </c>
    </row>
    <row r="37" spans="2:6" ht="15.75">
      <c r="B37" s="14">
        <v>42870</v>
      </c>
      <c r="C37" s="11">
        <v>1705034</v>
      </c>
      <c r="D37" s="12" t="s">
        <v>225</v>
      </c>
      <c r="E37" s="26"/>
      <c r="F37" s="26">
        <v>20000</v>
      </c>
    </row>
    <row r="38" spans="2:6" ht="15.75">
      <c r="B38" s="14">
        <v>42870</v>
      </c>
      <c r="C38" s="15">
        <v>1705035</v>
      </c>
      <c r="D38" s="16" t="s">
        <v>226</v>
      </c>
      <c r="E38" s="26">
        <f>100+12366</f>
        <v>12466</v>
      </c>
      <c r="F38" s="26"/>
    </row>
    <row r="39" spans="2:6" ht="15.75">
      <c r="B39" s="14">
        <v>42871</v>
      </c>
      <c r="C39" s="11">
        <v>1705036</v>
      </c>
      <c r="D39" s="16" t="s">
        <v>227</v>
      </c>
      <c r="E39" s="26">
        <f>100+84016+100+20390</f>
        <v>104606</v>
      </c>
      <c r="F39" s="26"/>
    </row>
    <row r="40" spans="2:6" ht="15.75">
      <c r="B40" s="14">
        <v>42872</v>
      </c>
      <c r="C40" s="11">
        <v>1705037</v>
      </c>
      <c r="D40" s="16" t="s">
        <v>228</v>
      </c>
      <c r="E40" s="26"/>
      <c r="F40" s="26">
        <v>20500</v>
      </c>
    </row>
    <row r="41" spans="2:6" ht="15.75">
      <c r="B41" s="14">
        <v>42872</v>
      </c>
      <c r="C41" s="15">
        <v>1705038</v>
      </c>
      <c r="D41" s="16" t="s">
        <v>7</v>
      </c>
      <c r="E41" s="26"/>
      <c r="F41" s="26">
        <v>18540</v>
      </c>
    </row>
    <row r="42" spans="2:6" ht="15.75">
      <c r="B42" s="14">
        <v>42872</v>
      </c>
      <c r="C42" s="11">
        <v>1705039</v>
      </c>
      <c r="D42" s="16" t="s">
        <v>229</v>
      </c>
      <c r="E42" s="25"/>
      <c r="F42" s="25">
        <v>1500</v>
      </c>
    </row>
    <row r="43" spans="2:6" ht="15.75">
      <c r="B43" s="14">
        <v>42872</v>
      </c>
      <c r="C43" s="15">
        <v>1705040</v>
      </c>
      <c r="D43" s="16" t="s">
        <v>230</v>
      </c>
      <c r="E43" s="25">
        <f>89010+100</f>
        <v>89110</v>
      </c>
      <c r="F43" s="25"/>
    </row>
    <row r="44" spans="2:6" ht="15.75">
      <c r="B44" s="14">
        <v>42873</v>
      </c>
      <c r="C44" s="11">
        <v>1705041</v>
      </c>
      <c r="D44" s="16" t="s">
        <v>41</v>
      </c>
      <c r="E44" s="25"/>
      <c r="F44" s="25">
        <v>2000</v>
      </c>
    </row>
    <row r="45" spans="2:6" ht="15.75">
      <c r="B45" s="14">
        <v>42874</v>
      </c>
      <c r="C45" s="15">
        <v>1705042</v>
      </c>
      <c r="D45" s="16" t="s">
        <v>45</v>
      </c>
      <c r="E45" s="25"/>
      <c r="F45" s="25">
        <v>2500</v>
      </c>
    </row>
    <row r="46" spans="2:6" ht="15.75">
      <c r="B46" s="14">
        <v>42874</v>
      </c>
      <c r="C46" s="11">
        <v>1705043</v>
      </c>
      <c r="D46" s="12" t="s">
        <v>217</v>
      </c>
      <c r="E46" s="25"/>
      <c r="F46" s="25">
        <v>10000</v>
      </c>
    </row>
    <row r="47" spans="2:6" ht="15.75">
      <c r="B47" s="14">
        <v>42874</v>
      </c>
      <c r="C47" s="15">
        <v>1705044</v>
      </c>
      <c r="D47" s="16" t="s">
        <v>231</v>
      </c>
      <c r="E47" s="25">
        <f>100+17842+100+16048</f>
        <v>34090</v>
      </c>
      <c r="F47" s="25"/>
    </row>
    <row r="48" spans="2:6" ht="15.75">
      <c r="B48" s="14">
        <v>42875</v>
      </c>
      <c r="C48" s="11">
        <v>1705045</v>
      </c>
      <c r="D48" s="16" t="s">
        <v>232</v>
      </c>
      <c r="E48" s="25"/>
      <c r="F48" s="25">
        <v>11000</v>
      </c>
    </row>
    <row r="49" spans="2:6" ht="15.75">
      <c r="B49" s="14">
        <v>42877</v>
      </c>
      <c r="C49" s="15">
        <v>1705046</v>
      </c>
      <c r="D49" s="12" t="s">
        <v>220</v>
      </c>
      <c r="E49" s="25"/>
      <c r="F49" s="25">
        <v>10000</v>
      </c>
    </row>
    <row r="50" spans="2:6" ht="15.75">
      <c r="B50" s="14">
        <v>42877</v>
      </c>
      <c r="C50" s="11">
        <v>1705047</v>
      </c>
      <c r="D50" s="16" t="s">
        <v>233</v>
      </c>
      <c r="E50" s="25">
        <f>500+132577+5133+2832</f>
        <v>141042</v>
      </c>
      <c r="F50" s="25"/>
    </row>
    <row r="51" spans="2:6" ht="15.75">
      <c r="B51" s="14">
        <v>42878</v>
      </c>
      <c r="C51" s="15">
        <v>1705048</v>
      </c>
      <c r="D51" s="16" t="s">
        <v>5</v>
      </c>
      <c r="E51" s="25"/>
      <c r="F51" s="25">
        <v>10000</v>
      </c>
    </row>
    <row r="52" spans="2:6" ht="15.75">
      <c r="B52" s="14">
        <v>42878</v>
      </c>
      <c r="C52" s="11">
        <v>1705049</v>
      </c>
      <c r="D52" s="16" t="s">
        <v>234</v>
      </c>
      <c r="E52" s="25"/>
      <c r="F52" s="25">
        <v>40000</v>
      </c>
    </row>
    <row r="53" spans="2:6" ht="15.75">
      <c r="B53" s="14">
        <v>42878</v>
      </c>
      <c r="C53" s="15">
        <v>1705050</v>
      </c>
      <c r="D53" s="16" t="s">
        <v>235</v>
      </c>
      <c r="E53" s="25">
        <f>100+45595+100+66764+100+20178</f>
        <v>132837</v>
      </c>
      <c r="F53" s="25"/>
    </row>
    <row r="54" spans="2:6" ht="15.75">
      <c r="B54" s="14">
        <v>42879</v>
      </c>
      <c r="C54" s="11">
        <v>1705051</v>
      </c>
      <c r="D54" s="16" t="s">
        <v>236</v>
      </c>
      <c r="E54" s="25"/>
      <c r="F54" s="25">
        <v>14000</v>
      </c>
    </row>
    <row r="55" spans="2:6" ht="15.75">
      <c r="B55" s="14">
        <v>42879</v>
      </c>
      <c r="C55" s="15">
        <v>1705052</v>
      </c>
      <c r="D55" s="16" t="s">
        <v>237</v>
      </c>
      <c r="E55" s="25">
        <f>100+16992+100+6903+500+243552</f>
        <v>268147</v>
      </c>
      <c r="F55" s="25"/>
    </row>
    <row r="56" spans="2:6" ht="15.75">
      <c r="B56" s="14">
        <v>42881</v>
      </c>
      <c r="C56" s="11">
        <v>1705053</v>
      </c>
      <c r="D56" s="16" t="s">
        <v>238</v>
      </c>
      <c r="E56" s="25">
        <f>100+13480</f>
        <v>13580</v>
      </c>
      <c r="F56" s="25"/>
    </row>
    <row r="57" spans="2:6" ht="15.75">
      <c r="B57" s="14">
        <v>42881</v>
      </c>
      <c r="C57" s="15">
        <v>1705054</v>
      </c>
      <c r="D57" s="16" t="s">
        <v>30</v>
      </c>
      <c r="E57" s="25"/>
      <c r="F57" s="25">
        <v>9000</v>
      </c>
    </row>
    <row r="58" spans="2:6" ht="15.75">
      <c r="B58" s="14">
        <v>42882</v>
      </c>
      <c r="C58" s="11">
        <v>1705055</v>
      </c>
      <c r="D58" s="16" t="s">
        <v>239</v>
      </c>
      <c r="E58" s="25"/>
      <c r="F58" s="25">
        <v>3000</v>
      </c>
    </row>
    <row r="59" spans="2:6" ht="15.75">
      <c r="B59" s="14">
        <v>42882</v>
      </c>
      <c r="C59" s="15">
        <v>1705056</v>
      </c>
      <c r="D59" s="16" t="s">
        <v>240</v>
      </c>
      <c r="E59" s="25"/>
      <c r="F59" s="25">
        <v>10000</v>
      </c>
    </row>
    <row r="60" spans="2:6" ht="15.75">
      <c r="B60" s="14">
        <v>42884</v>
      </c>
      <c r="C60" s="11">
        <v>1705057</v>
      </c>
      <c r="D60" s="16" t="s">
        <v>241</v>
      </c>
      <c r="E60" s="25">
        <f>100+24638</f>
        <v>24738</v>
      </c>
      <c r="F60" s="25"/>
    </row>
    <row r="61" spans="2:6" ht="15.75">
      <c r="B61" s="14">
        <v>42884</v>
      </c>
      <c r="C61" s="15">
        <v>1705058</v>
      </c>
      <c r="D61" s="16" t="s">
        <v>242</v>
      </c>
      <c r="E61" s="25"/>
      <c r="F61" s="25">
        <v>80500</v>
      </c>
    </row>
    <row r="62" spans="2:6" ht="15.75">
      <c r="B62" s="14">
        <v>42885</v>
      </c>
      <c r="C62" s="11">
        <v>1705059</v>
      </c>
      <c r="D62" s="16" t="s">
        <v>19</v>
      </c>
      <c r="E62" s="25"/>
      <c r="F62" s="25">
        <v>120000</v>
      </c>
    </row>
    <row r="63" spans="2:6" ht="15.75">
      <c r="B63" s="14">
        <v>42885</v>
      </c>
      <c r="C63" s="15">
        <v>1705060</v>
      </c>
      <c r="D63" s="16" t="s">
        <v>243</v>
      </c>
      <c r="E63" s="25"/>
      <c r="F63" s="25">
        <v>20000</v>
      </c>
    </row>
    <row r="64" spans="2:6" ht="15.75">
      <c r="B64" s="14">
        <v>42885</v>
      </c>
      <c r="C64" s="11">
        <v>1705061</v>
      </c>
      <c r="D64" s="16" t="s">
        <v>244</v>
      </c>
      <c r="E64" s="25">
        <f>100+7023+5039+100+6992+100+15104+100+10266+100+73018+100+36349</f>
        <v>154391</v>
      </c>
      <c r="F64" s="25"/>
    </row>
    <row r="65" spans="2:6" ht="15.75">
      <c r="B65" s="14">
        <v>42886</v>
      </c>
      <c r="C65" s="15">
        <v>1705062</v>
      </c>
      <c r="D65" s="16" t="s">
        <v>41</v>
      </c>
      <c r="E65" s="25"/>
      <c r="F65" s="25">
        <v>2000</v>
      </c>
    </row>
    <row r="66" spans="2:6" ht="15.75">
      <c r="B66" s="14">
        <v>42886</v>
      </c>
      <c r="C66" s="11">
        <v>1705063</v>
      </c>
      <c r="D66" s="16" t="s">
        <v>245</v>
      </c>
      <c r="E66" s="25">
        <f>500+349327+100+65702+100+10756</f>
        <v>426485</v>
      </c>
      <c r="F66" s="25"/>
    </row>
    <row r="67" spans="2:6" ht="15.75">
      <c r="B67" s="14">
        <v>42886</v>
      </c>
      <c r="C67" s="15">
        <v>1705064</v>
      </c>
      <c r="D67" s="16" t="s">
        <v>246</v>
      </c>
      <c r="E67" s="25"/>
      <c r="F67" s="25">
        <v>2000</v>
      </c>
    </row>
    <row r="68" spans="2:6" ht="15.75">
      <c r="B68" s="18"/>
      <c r="C68" s="19"/>
      <c r="D68" s="20"/>
      <c r="E68" s="25">
        <f>SUM(E3:E67)</f>
        <v>3886369</v>
      </c>
      <c r="F68" s="25">
        <f>SUM(F3:F67)</f>
        <v>1482574</v>
      </c>
    </row>
    <row r="69" spans="2:6">
      <c r="B69" s="5"/>
      <c r="C69" s="27"/>
    </row>
    <row r="70" spans="2:6">
      <c r="B70" s="5"/>
      <c r="C70" s="27"/>
      <c r="E70" s="21" t="s">
        <v>6</v>
      </c>
      <c r="F70" s="17">
        <f>E68-F68</f>
        <v>2403795</v>
      </c>
    </row>
  </sheetData>
  <printOptions horizontalCentered="1"/>
  <pageMargins left="0" right="0" top="0" bottom="0" header="0" footer="0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F77"/>
  <sheetViews>
    <sheetView topLeftCell="A64" workbookViewId="0">
      <selection activeCell="E84" sqref="E84"/>
    </sheetView>
  </sheetViews>
  <sheetFormatPr baseColWidth="10" defaultRowHeight="15"/>
  <cols>
    <col min="2" max="2" width="10.28515625" customWidth="1"/>
    <col min="3" max="3" width="11.85546875" customWidth="1"/>
    <col min="4" max="4" width="43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42887</v>
      </c>
      <c r="C3" s="22"/>
      <c r="D3" s="8" t="s">
        <v>247</v>
      </c>
      <c r="E3" s="24">
        <f>'MAI 2017'!F70</f>
        <v>2403795</v>
      </c>
      <c r="F3" s="24"/>
    </row>
    <row r="4" spans="2:6" ht="15.75">
      <c r="B4" s="10">
        <v>42887</v>
      </c>
      <c r="C4" s="11">
        <v>1706001</v>
      </c>
      <c r="D4" s="16" t="s">
        <v>24</v>
      </c>
      <c r="E4" s="25">
        <f>100+49088+100+11835+100+9930</f>
        <v>71153</v>
      </c>
      <c r="F4" s="25"/>
    </row>
    <row r="5" spans="2:6" ht="15.75">
      <c r="B5" s="14">
        <v>42888</v>
      </c>
      <c r="C5" s="15">
        <v>1706002</v>
      </c>
      <c r="D5" s="16" t="s">
        <v>25</v>
      </c>
      <c r="E5" s="26">
        <f>100+8927+4956</f>
        <v>13983</v>
      </c>
      <c r="F5" s="26"/>
    </row>
    <row r="6" spans="2:6" ht="15.75">
      <c r="B6" s="14">
        <v>42888</v>
      </c>
      <c r="C6" s="11">
        <v>1706003</v>
      </c>
      <c r="D6" s="16" t="s">
        <v>255</v>
      </c>
      <c r="E6" s="26"/>
      <c r="F6" s="26">
        <v>15000</v>
      </c>
    </row>
    <row r="7" spans="2:6" ht="15.75">
      <c r="B7" s="14">
        <v>42888</v>
      </c>
      <c r="C7" s="15">
        <v>1706004</v>
      </c>
      <c r="D7" s="12" t="s">
        <v>248</v>
      </c>
      <c r="E7" s="26"/>
      <c r="F7" s="26">
        <v>15000</v>
      </c>
    </row>
    <row r="8" spans="2:6" ht="15.75">
      <c r="B8" s="14">
        <v>42889</v>
      </c>
      <c r="C8" s="11">
        <v>1706005</v>
      </c>
      <c r="D8" s="16" t="s">
        <v>249</v>
      </c>
      <c r="E8" s="26"/>
      <c r="F8" s="26">
        <v>57112</v>
      </c>
    </row>
    <row r="9" spans="2:6" ht="15.75">
      <c r="B9" s="14">
        <v>42889</v>
      </c>
      <c r="C9" s="15">
        <v>1706006</v>
      </c>
      <c r="D9" s="12" t="s">
        <v>16</v>
      </c>
      <c r="E9" s="26"/>
      <c r="F9" s="26">
        <v>2000</v>
      </c>
    </row>
    <row r="10" spans="2:6" ht="15.75">
      <c r="B10" s="14">
        <v>42889</v>
      </c>
      <c r="C10" s="11">
        <v>1706007</v>
      </c>
      <c r="D10" s="16" t="s">
        <v>45</v>
      </c>
      <c r="E10" s="26"/>
      <c r="F10" s="26">
        <v>2500</v>
      </c>
    </row>
    <row r="11" spans="2:6" ht="15.75">
      <c r="B11" s="14">
        <v>42892</v>
      </c>
      <c r="C11" s="15">
        <v>1706008</v>
      </c>
      <c r="D11" s="16" t="s">
        <v>7</v>
      </c>
      <c r="E11" s="26"/>
      <c r="F11" s="26">
        <v>24575</v>
      </c>
    </row>
    <row r="12" spans="2:6" ht="15.75">
      <c r="B12" s="14">
        <v>42892</v>
      </c>
      <c r="C12" s="11">
        <v>1706009</v>
      </c>
      <c r="D12" s="12" t="s">
        <v>250</v>
      </c>
      <c r="E12" s="26"/>
      <c r="F12" s="26">
        <v>45000</v>
      </c>
    </row>
    <row r="13" spans="2:6" ht="15.75">
      <c r="B13" s="14">
        <v>42892</v>
      </c>
      <c r="C13" s="15">
        <v>1706010</v>
      </c>
      <c r="D13" s="16" t="s">
        <v>251</v>
      </c>
      <c r="E13" s="26">
        <f>5487+500+142494+100+34456</f>
        <v>183037</v>
      </c>
      <c r="F13" s="26"/>
    </row>
    <row r="14" spans="2:6" ht="15.75">
      <c r="B14" s="14">
        <v>42893</v>
      </c>
      <c r="C14" s="11">
        <v>1706011</v>
      </c>
      <c r="D14" s="16" t="s">
        <v>252</v>
      </c>
      <c r="E14" s="26">
        <f>100+8260+100+19208</f>
        <v>27668</v>
      </c>
      <c r="F14" s="26"/>
    </row>
    <row r="15" spans="2:6" ht="15.75">
      <c r="B15" s="14">
        <v>42894</v>
      </c>
      <c r="C15" s="15">
        <v>1706012</v>
      </c>
      <c r="D15" s="16" t="s">
        <v>41</v>
      </c>
      <c r="E15" s="26"/>
      <c r="F15" s="26">
        <v>2000</v>
      </c>
    </row>
    <row r="16" spans="2:6" ht="15.75">
      <c r="B16" s="14">
        <v>42894</v>
      </c>
      <c r="C16" s="11">
        <v>1706013</v>
      </c>
      <c r="D16" s="16" t="s">
        <v>253</v>
      </c>
      <c r="E16" s="26">
        <f>100+5959+100+16174+500+160000+100+32303+100+61065</f>
        <v>276401</v>
      </c>
      <c r="F16" s="26"/>
    </row>
    <row r="17" spans="2:6" ht="15.75">
      <c r="B17" s="14">
        <v>42895</v>
      </c>
      <c r="C17" s="15">
        <v>1706014</v>
      </c>
      <c r="D17" s="16" t="s">
        <v>254</v>
      </c>
      <c r="E17" s="26"/>
      <c r="F17" s="26">
        <v>10000</v>
      </c>
    </row>
    <row r="18" spans="2:6" ht="15.75">
      <c r="B18" s="14">
        <v>42895</v>
      </c>
      <c r="C18" s="11">
        <v>1706015</v>
      </c>
      <c r="D18" s="16" t="s">
        <v>239</v>
      </c>
      <c r="E18" s="26"/>
      <c r="F18" s="26">
        <v>3000</v>
      </c>
    </row>
    <row r="19" spans="2:6" ht="15.75">
      <c r="B19" s="14">
        <v>42895</v>
      </c>
      <c r="C19" s="15">
        <v>1706016</v>
      </c>
      <c r="D19" s="12" t="s">
        <v>256</v>
      </c>
      <c r="E19" s="26"/>
      <c r="F19" s="26">
        <v>5000</v>
      </c>
    </row>
    <row r="20" spans="2:6" ht="15.75">
      <c r="B20" s="14">
        <v>42895</v>
      </c>
      <c r="C20" s="11">
        <v>1706017</v>
      </c>
      <c r="D20" s="16" t="s">
        <v>257</v>
      </c>
      <c r="E20" s="26">
        <f>100+52392</f>
        <v>52492</v>
      </c>
      <c r="F20" s="26"/>
    </row>
    <row r="21" spans="2:6" ht="15.75">
      <c r="B21" s="14">
        <v>42896</v>
      </c>
      <c r="C21" s="15">
        <v>1706018</v>
      </c>
      <c r="D21" s="16" t="s">
        <v>258</v>
      </c>
      <c r="E21" s="26">
        <f>100+8260+100+30090</f>
        <v>38550</v>
      </c>
      <c r="F21" s="26"/>
    </row>
    <row r="22" spans="2:6" ht="15.75">
      <c r="B22" s="14">
        <v>42896</v>
      </c>
      <c r="C22" s="11">
        <v>1706019</v>
      </c>
      <c r="D22" s="12" t="s">
        <v>259</v>
      </c>
      <c r="E22" s="26"/>
      <c r="F22" s="26">
        <v>20000</v>
      </c>
    </row>
    <row r="23" spans="2:6" ht="15.75">
      <c r="B23" s="14">
        <v>42896</v>
      </c>
      <c r="C23" s="15">
        <v>1706020</v>
      </c>
      <c r="D23" s="16" t="s">
        <v>260</v>
      </c>
      <c r="E23" s="26"/>
      <c r="F23" s="26">
        <v>34000</v>
      </c>
    </row>
    <row r="24" spans="2:6" ht="15.75">
      <c r="B24" s="14">
        <v>42898</v>
      </c>
      <c r="C24" s="11">
        <v>1706021</v>
      </c>
      <c r="D24" s="16" t="s">
        <v>261</v>
      </c>
      <c r="E24" s="26">
        <f>100+6608+100+8846+100+12744+5286</f>
        <v>33784</v>
      </c>
      <c r="F24" s="26"/>
    </row>
    <row r="25" spans="2:6" ht="15.75">
      <c r="B25" s="14">
        <v>42899</v>
      </c>
      <c r="C25" s="15">
        <v>1706022</v>
      </c>
      <c r="D25" s="12" t="s">
        <v>250</v>
      </c>
      <c r="E25" s="26"/>
      <c r="F25" s="26">
        <v>15000</v>
      </c>
    </row>
    <row r="26" spans="2:6" ht="15.75">
      <c r="B26" s="14">
        <v>42899</v>
      </c>
      <c r="C26" s="11">
        <v>1706023</v>
      </c>
      <c r="D26" s="16" t="s">
        <v>9</v>
      </c>
      <c r="E26" s="26"/>
      <c r="F26" s="26">
        <v>27300</v>
      </c>
    </row>
    <row r="27" spans="2:6" ht="15.75">
      <c r="B27" s="14">
        <v>42899</v>
      </c>
      <c r="C27" s="15">
        <v>1706024</v>
      </c>
      <c r="D27" s="12" t="s">
        <v>122</v>
      </c>
      <c r="E27" s="26"/>
      <c r="F27" s="26">
        <v>500</v>
      </c>
    </row>
    <row r="28" spans="2:6" s="32" customFormat="1" ht="15.75">
      <c r="B28" s="6">
        <v>42899</v>
      </c>
      <c r="C28" s="36">
        <v>1706025</v>
      </c>
      <c r="D28" s="37" t="s">
        <v>548</v>
      </c>
      <c r="E28" s="24"/>
      <c r="F28" s="24">
        <v>300000</v>
      </c>
    </row>
    <row r="29" spans="2:6" ht="15.75">
      <c r="B29" s="14">
        <v>42899</v>
      </c>
      <c r="C29" s="15">
        <v>1706026</v>
      </c>
      <c r="D29" s="12" t="s">
        <v>211</v>
      </c>
      <c r="E29" s="26">
        <v>50000</v>
      </c>
      <c r="F29" s="26"/>
    </row>
    <row r="30" spans="2:6" ht="15.75">
      <c r="B30" s="14">
        <v>42899</v>
      </c>
      <c r="C30" s="11">
        <v>1706027</v>
      </c>
      <c r="D30" s="12" t="s">
        <v>263</v>
      </c>
      <c r="E30" s="26"/>
      <c r="F30" s="26">
        <v>8500</v>
      </c>
    </row>
    <row r="31" spans="2:6" ht="15.75">
      <c r="B31" s="14">
        <v>42899</v>
      </c>
      <c r="C31" s="15">
        <v>1706028</v>
      </c>
      <c r="D31" s="28" t="s">
        <v>264</v>
      </c>
      <c r="E31" s="26">
        <v>2775</v>
      </c>
      <c r="F31" s="26"/>
    </row>
    <row r="32" spans="2:6" ht="15.75">
      <c r="B32" s="14">
        <v>42900</v>
      </c>
      <c r="C32" s="11">
        <v>1706029</v>
      </c>
      <c r="D32" s="12" t="s">
        <v>262</v>
      </c>
      <c r="E32" s="26">
        <f>100+46684+3398+100+8703</f>
        <v>58985</v>
      </c>
      <c r="F32" s="26"/>
    </row>
    <row r="33" spans="2:6" ht="15.75">
      <c r="B33" s="14">
        <v>42901</v>
      </c>
      <c r="C33" s="15">
        <v>1706030</v>
      </c>
      <c r="D33" s="12" t="s">
        <v>263</v>
      </c>
      <c r="E33" s="26"/>
      <c r="F33" s="26">
        <v>6500</v>
      </c>
    </row>
    <row r="34" spans="2:6" ht="15.75">
      <c r="B34" s="14">
        <v>42901</v>
      </c>
      <c r="C34" s="11">
        <v>1706031</v>
      </c>
      <c r="D34" s="12" t="s">
        <v>265</v>
      </c>
      <c r="E34" s="26">
        <f>1239+3540+100+14909+100+52215</f>
        <v>72103</v>
      </c>
      <c r="F34" s="26"/>
    </row>
    <row r="35" spans="2:6" ht="15.75">
      <c r="B35" s="14">
        <v>42901</v>
      </c>
      <c r="C35" s="15">
        <v>1706032</v>
      </c>
      <c r="D35" s="12" t="s">
        <v>259</v>
      </c>
      <c r="E35" s="26"/>
      <c r="F35" s="29">
        <v>20000</v>
      </c>
    </row>
    <row r="36" spans="2:6" ht="15.75">
      <c r="B36" s="14">
        <v>42902</v>
      </c>
      <c r="C36" s="11">
        <v>1706033</v>
      </c>
      <c r="D36" s="16" t="s">
        <v>41</v>
      </c>
      <c r="E36" s="26"/>
      <c r="F36" s="26">
        <v>2000</v>
      </c>
    </row>
    <row r="37" spans="2:6" ht="15.75">
      <c r="B37" s="14">
        <v>42902</v>
      </c>
      <c r="C37" s="15">
        <v>1706034</v>
      </c>
      <c r="D37" s="12" t="s">
        <v>7</v>
      </c>
      <c r="E37" s="26"/>
      <c r="F37" s="26">
        <v>4300</v>
      </c>
    </row>
    <row r="38" spans="2:6" ht="15.75">
      <c r="B38" s="14">
        <v>42902</v>
      </c>
      <c r="C38" s="11">
        <v>1706035</v>
      </c>
      <c r="D38" s="16" t="s">
        <v>266</v>
      </c>
      <c r="E38" s="26"/>
      <c r="F38" s="26">
        <v>9500</v>
      </c>
    </row>
    <row r="39" spans="2:6" ht="15.75">
      <c r="B39" s="14">
        <v>42902</v>
      </c>
      <c r="C39" s="15">
        <v>1706036</v>
      </c>
      <c r="D39" s="12" t="s">
        <v>263</v>
      </c>
      <c r="E39" s="26"/>
      <c r="F39" s="26">
        <v>64000</v>
      </c>
    </row>
    <row r="40" spans="2:6" ht="15.75">
      <c r="B40" s="14">
        <v>42902</v>
      </c>
      <c r="C40" s="11">
        <v>1706037</v>
      </c>
      <c r="D40" s="16" t="s">
        <v>8</v>
      </c>
      <c r="E40" s="26"/>
      <c r="F40" s="26">
        <f>100+27423</f>
        <v>27523</v>
      </c>
    </row>
    <row r="41" spans="2:6" ht="15.75">
      <c r="B41" s="14">
        <v>42902</v>
      </c>
      <c r="C41" s="15">
        <v>1706038</v>
      </c>
      <c r="D41" s="16" t="s">
        <v>19</v>
      </c>
      <c r="E41" s="26"/>
      <c r="F41" s="26">
        <v>25000</v>
      </c>
    </row>
    <row r="42" spans="2:6" ht="15.75">
      <c r="B42" s="14">
        <v>42902</v>
      </c>
      <c r="C42" s="11">
        <v>1706039</v>
      </c>
      <c r="D42" s="16" t="s">
        <v>7</v>
      </c>
      <c r="E42" s="26"/>
      <c r="F42" s="25">
        <v>64725</v>
      </c>
    </row>
    <row r="43" spans="2:6" ht="15.75">
      <c r="B43" s="14">
        <v>42902</v>
      </c>
      <c r="C43" s="15">
        <v>1706040</v>
      </c>
      <c r="D43" s="12" t="s">
        <v>267</v>
      </c>
      <c r="E43" s="26"/>
      <c r="F43" s="25">
        <v>232500</v>
      </c>
    </row>
    <row r="44" spans="2:6" ht="15.75">
      <c r="B44" s="14">
        <v>42902</v>
      </c>
      <c r="C44" s="11">
        <v>1706041</v>
      </c>
      <c r="D44" s="16" t="s">
        <v>268</v>
      </c>
      <c r="E44" s="26"/>
      <c r="F44" s="25">
        <v>92500</v>
      </c>
    </row>
    <row r="45" spans="2:6" ht="15.75">
      <c r="B45" s="14">
        <v>42902</v>
      </c>
      <c r="C45" s="15">
        <v>1706042</v>
      </c>
      <c r="D45" s="16" t="s">
        <v>269</v>
      </c>
      <c r="E45" s="26">
        <f>100+40592</f>
        <v>40692</v>
      </c>
      <c r="F45" s="25"/>
    </row>
    <row r="46" spans="2:6" ht="15.75">
      <c r="B46" s="14">
        <v>42903</v>
      </c>
      <c r="C46" s="11">
        <v>1706043</v>
      </c>
      <c r="D46" s="16" t="s">
        <v>270</v>
      </c>
      <c r="E46" s="25">
        <f>100+43542+500+297360+100+66316</f>
        <v>407918</v>
      </c>
      <c r="F46" s="25"/>
    </row>
    <row r="47" spans="2:6" ht="15.75">
      <c r="B47" s="14">
        <v>42903</v>
      </c>
      <c r="C47" s="15">
        <v>1706044</v>
      </c>
      <c r="D47" s="16" t="s">
        <v>271</v>
      </c>
      <c r="E47" s="25"/>
      <c r="F47" s="25">
        <v>33000</v>
      </c>
    </row>
    <row r="48" spans="2:6" ht="15.75">
      <c r="B48" s="14">
        <v>42903</v>
      </c>
      <c r="C48" s="11">
        <v>1706045</v>
      </c>
      <c r="D48" s="16" t="s">
        <v>16</v>
      </c>
      <c r="E48" s="25"/>
      <c r="F48" s="25">
        <v>2000</v>
      </c>
    </row>
    <row r="49" spans="2:6" ht="15.75">
      <c r="B49" s="14">
        <v>42905</v>
      </c>
      <c r="C49" s="15">
        <v>1706046</v>
      </c>
      <c r="D49" s="16" t="s">
        <v>272</v>
      </c>
      <c r="E49" s="25">
        <f>100+22277+100+35966</f>
        <v>58443</v>
      </c>
      <c r="F49" s="25"/>
    </row>
    <row r="50" spans="2:6" ht="15.75">
      <c r="B50" s="14">
        <v>42905</v>
      </c>
      <c r="C50" s="11">
        <v>1706047</v>
      </c>
      <c r="D50" s="12" t="s">
        <v>273</v>
      </c>
      <c r="E50" s="25"/>
      <c r="F50" s="25">
        <v>30000</v>
      </c>
    </row>
    <row r="51" spans="2:6" ht="15.75">
      <c r="B51" s="14">
        <v>42906</v>
      </c>
      <c r="C51" s="15">
        <v>1706048</v>
      </c>
      <c r="D51" s="12" t="s">
        <v>259</v>
      </c>
      <c r="E51" s="25"/>
      <c r="F51" s="25">
        <v>20000</v>
      </c>
    </row>
    <row r="52" spans="2:6" ht="15.75">
      <c r="B52" s="14">
        <v>42906</v>
      </c>
      <c r="C52" s="11">
        <v>1706049</v>
      </c>
      <c r="D52" s="12" t="s">
        <v>274</v>
      </c>
      <c r="E52" s="25">
        <f>100+8850+100+7375+100+14082+100+20060+3811</f>
        <v>54578</v>
      </c>
      <c r="F52" s="25"/>
    </row>
    <row r="53" spans="2:6" ht="15.75">
      <c r="B53" s="14">
        <v>42907</v>
      </c>
      <c r="C53" s="15">
        <v>1706050</v>
      </c>
      <c r="D53" s="12" t="s">
        <v>275</v>
      </c>
      <c r="E53" s="25">
        <f>100+30633+5841</f>
        <v>36574</v>
      </c>
      <c r="F53" s="25"/>
    </row>
    <row r="54" spans="2:6" ht="15.75">
      <c r="B54" s="14">
        <v>42909</v>
      </c>
      <c r="C54" s="11">
        <v>1706051</v>
      </c>
      <c r="D54" s="12" t="s">
        <v>5</v>
      </c>
      <c r="E54" s="25"/>
      <c r="F54" s="25">
        <v>10000</v>
      </c>
    </row>
    <row r="55" spans="2:6" ht="15.75">
      <c r="B55" s="14">
        <v>42909</v>
      </c>
      <c r="C55" s="15">
        <v>1706052</v>
      </c>
      <c r="D55" s="12" t="s">
        <v>229</v>
      </c>
      <c r="E55" s="25"/>
      <c r="F55" s="25">
        <v>1500</v>
      </c>
    </row>
    <row r="56" spans="2:6" ht="15.75">
      <c r="B56" s="14">
        <v>42909</v>
      </c>
      <c r="C56" s="11">
        <v>1706053</v>
      </c>
      <c r="D56" s="12" t="s">
        <v>276</v>
      </c>
      <c r="E56" s="25">
        <f>100+80240</f>
        <v>80340</v>
      </c>
      <c r="F56" s="25"/>
    </row>
    <row r="57" spans="2:6" ht="15.75">
      <c r="B57" s="14">
        <v>42910</v>
      </c>
      <c r="C57" s="15">
        <v>1706054</v>
      </c>
      <c r="D57" s="12" t="s">
        <v>277</v>
      </c>
      <c r="E57" s="25">
        <f>100+60416+100+97279+100+16761</f>
        <v>174756</v>
      </c>
      <c r="F57" s="25"/>
    </row>
    <row r="58" spans="2:6" ht="15.75">
      <c r="B58" s="14">
        <v>42910</v>
      </c>
      <c r="C58" s="11">
        <v>1706055</v>
      </c>
      <c r="D58" s="12" t="s">
        <v>278</v>
      </c>
      <c r="E58" s="25"/>
      <c r="F58" s="25">
        <v>57112</v>
      </c>
    </row>
    <row r="59" spans="2:6" ht="15.75">
      <c r="B59" s="14">
        <v>42910</v>
      </c>
      <c r="C59" s="15">
        <v>1706056</v>
      </c>
      <c r="D59" s="16" t="s">
        <v>279</v>
      </c>
      <c r="E59" s="25"/>
      <c r="F59" s="25">
        <v>20000</v>
      </c>
    </row>
    <row r="60" spans="2:6" ht="15.75">
      <c r="B60" s="14">
        <v>42912</v>
      </c>
      <c r="C60" s="11">
        <v>1706057</v>
      </c>
      <c r="D60" s="12" t="s">
        <v>280</v>
      </c>
      <c r="E60" s="25"/>
      <c r="F60" s="25">
        <v>4413</v>
      </c>
    </row>
    <row r="61" spans="2:6" ht="15.75">
      <c r="B61" s="14">
        <v>42913</v>
      </c>
      <c r="C61" s="15">
        <v>1706058</v>
      </c>
      <c r="D61" s="12" t="s">
        <v>41</v>
      </c>
      <c r="E61" s="25"/>
      <c r="F61" s="25">
        <v>2000</v>
      </c>
    </row>
    <row r="62" spans="2:6" ht="15.75">
      <c r="B62" s="14">
        <v>42913</v>
      </c>
      <c r="C62" s="11">
        <v>1706059</v>
      </c>
      <c r="D62" s="12" t="s">
        <v>5</v>
      </c>
      <c r="E62" s="25"/>
      <c r="F62" s="25">
        <v>10000</v>
      </c>
    </row>
    <row r="63" spans="2:6" ht="15.75">
      <c r="B63" s="14">
        <v>42913</v>
      </c>
      <c r="C63" s="15">
        <v>1706060</v>
      </c>
      <c r="D63" s="12" t="s">
        <v>122</v>
      </c>
      <c r="E63" s="25"/>
      <c r="F63" s="25">
        <v>500</v>
      </c>
    </row>
    <row r="64" spans="2:6" ht="15.75">
      <c r="B64" s="14">
        <v>42913</v>
      </c>
      <c r="C64" s="11">
        <v>1706061</v>
      </c>
      <c r="D64" s="12" t="s">
        <v>281</v>
      </c>
      <c r="E64" s="25">
        <f>100+6230+100+19647</f>
        <v>26077</v>
      </c>
      <c r="F64" s="25"/>
    </row>
    <row r="65" spans="2:6" ht="15.75">
      <c r="B65" s="14">
        <v>42914</v>
      </c>
      <c r="C65" s="15">
        <v>1706062</v>
      </c>
      <c r="D65" s="12" t="s">
        <v>282</v>
      </c>
      <c r="E65" s="25">
        <f>2243+3568</f>
        <v>5811</v>
      </c>
      <c r="F65" s="25"/>
    </row>
    <row r="66" spans="2:6" ht="15.75">
      <c r="B66" s="14">
        <v>42915</v>
      </c>
      <c r="C66" s="11">
        <v>1706063</v>
      </c>
      <c r="D66" s="12" t="s">
        <v>5</v>
      </c>
      <c r="E66" s="25"/>
      <c r="F66" s="25">
        <v>10000</v>
      </c>
    </row>
    <row r="67" spans="2:6" ht="15.75">
      <c r="B67" s="14">
        <v>42915</v>
      </c>
      <c r="C67" s="15">
        <v>1706064</v>
      </c>
      <c r="D67" s="12" t="s">
        <v>283</v>
      </c>
      <c r="E67" s="25"/>
      <c r="F67" s="25">
        <v>20100</v>
      </c>
    </row>
    <row r="68" spans="2:6" ht="15.75">
      <c r="B68" s="14">
        <v>42915</v>
      </c>
      <c r="C68" s="11">
        <v>1706065</v>
      </c>
      <c r="D68" s="12" t="s">
        <v>284</v>
      </c>
      <c r="E68" s="25"/>
      <c r="F68" s="25">
        <v>21000</v>
      </c>
    </row>
    <row r="69" spans="2:6" ht="15.75">
      <c r="B69" s="14">
        <v>42915</v>
      </c>
      <c r="C69" s="15">
        <v>1706066</v>
      </c>
      <c r="D69" s="12" t="s">
        <v>285</v>
      </c>
      <c r="E69" s="25">
        <f>100+19352+100+18054+100+15718+100+61454</f>
        <v>114978</v>
      </c>
      <c r="F69" s="25"/>
    </row>
    <row r="70" spans="2:6" ht="15.75">
      <c r="B70" s="14">
        <v>42916</v>
      </c>
      <c r="C70" s="11">
        <v>1706067</v>
      </c>
      <c r="D70" s="16" t="s">
        <v>19</v>
      </c>
      <c r="E70" s="25"/>
      <c r="F70" s="25">
        <v>120000</v>
      </c>
    </row>
    <row r="71" spans="2:6" ht="15.75">
      <c r="B71" s="14">
        <v>42916</v>
      </c>
      <c r="C71" s="15">
        <v>1706068</v>
      </c>
      <c r="D71" s="12" t="s">
        <v>286</v>
      </c>
      <c r="E71" s="25"/>
      <c r="F71" s="25">
        <v>80500</v>
      </c>
    </row>
    <row r="72" spans="2:6" ht="15.75">
      <c r="B72" s="14">
        <v>42916</v>
      </c>
      <c r="C72" s="11">
        <v>1706069</v>
      </c>
      <c r="D72" s="12" t="s">
        <v>287</v>
      </c>
      <c r="E72" s="25"/>
      <c r="F72" s="25">
        <v>80500</v>
      </c>
    </row>
    <row r="73" spans="2:6" ht="15.75">
      <c r="B73" s="14">
        <v>42916</v>
      </c>
      <c r="C73" s="15">
        <v>1706070</v>
      </c>
      <c r="D73" s="12" t="s">
        <v>288</v>
      </c>
      <c r="E73" s="25">
        <f>500+161424+3509+100+18880+100+12479</f>
        <v>196992</v>
      </c>
      <c r="F73" s="25"/>
    </row>
    <row r="74" spans="2:6" ht="15.75">
      <c r="B74" s="14">
        <v>42916</v>
      </c>
      <c r="C74" s="11">
        <v>1706071</v>
      </c>
      <c r="D74" s="16" t="s">
        <v>289</v>
      </c>
      <c r="E74" s="25"/>
      <c r="F74" s="25">
        <v>16000</v>
      </c>
    </row>
    <row r="75" spans="2:6" ht="15.75">
      <c r="B75" s="18"/>
      <c r="C75" s="19"/>
      <c r="D75" s="20"/>
      <c r="E75" s="25">
        <f>SUM(E3:E74)</f>
        <v>4481885</v>
      </c>
      <c r="F75" s="25">
        <f>SUM(F3:F74)</f>
        <v>1673660</v>
      </c>
    </row>
    <row r="76" spans="2:6">
      <c r="B76" s="5"/>
      <c r="C76" s="27"/>
    </row>
    <row r="77" spans="2:6">
      <c r="B77" s="5"/>
      <c r="C77" s="27"/>
      <c r="E77" s="21" t="s">
        <v>6</v>
      </c>
      <c r="F77" s="17">
        <f>E75-F75</f>
        <v>2808225</v>
      </c>
    </row>
  </sheetData>
  <printOptions horizontalCentered="1"/>
  <pageMargins left="0" right="0" top="0" bottom="0" header="0" footer="0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F76"/>
  <sheetViews>
    <sheetView topLeftCell="A70" workbookViewId="0">
      <selection activeCell="F76" sqref="B2:F76"/>
    </sheetView>
  </sheetViews>
  <sheetFormatPr baseColWidth="10" defaultRowHeight="15"/>
  <cols>
    <col min="2" max="2" width="8.7109375" customWidth="1"/>
    <col min="3" max="3" width="10.7109375" customWidth="1"/>
    <col min="4" max="4" width="45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42917</v>
      </c>
      <c r="C3" s="22"/>
      <c r="D3" s="8" t="s">
        <v>290</v>
      </c>
      <c r="E3" s="24">
        <f>'JUIN 2017'!F77</f>
        <v>2808225</v>
      </c>
      <c r="F3" s="24"/>
    </row>
    <row r="4" spans="2:6" ht="15.75">
      <c r="B4" s="10">
        <v>42917</v>
      </c>
      <c r="C4" s="11">
        <v>1707001</v>
      </c>
      <c r="D4" s="16" t="s">
        <v>28</v>
      </c>
      <c r="E4" s="25">
        <f>3540+100+66694+500+360844</f>
        <v>431678</v>
      </c>
      <c r="F4" s="25"/>
    </row>
    <row r="5" spans="2:6" ht="15.75">
      <c r="B5" s="14">
        <v>42919</v>
      </c>
      <c r="C5" s="15">
        <v>1707002</v>
      </c>
      <c r="D5" s="16" t="s">
        <v>291</v>
      </c>
      <c r="E5" s="26">
        <f>5310+100+14223+100+36611+100+7823+100+37913</f>
        <v>102280</v>
      </c>
      <c r="F5" s="26"/>
    </row>
    <row r="6" spans="2:6" ht="15.75">
      <c r="B6" s="14">
        <v>42920</v>
      </c>
      <c r="C6" s="11">
        <v>1707003</v>
      </c>
      <c r="D6" s="16" t="s">
        <v>292</v>
      </c>
      <c r="E6" s="26">
        <f>100+6771+100+18125+100+63942</f>
        <v>89138</v>
      </c>
      <c r="F6" s="26"/>
    </row>
    <row r="7" spans="2:6" ht="15.75">
      <c r="B7" s="14">
        <v>42921</v>
      </c>
      <c r="C7" s="11">
        <v>1707004</v>
      </c>
      <c r="D7" s="16" t="s">
        <v>45</v>
      </c>
      <c r="E7" s="26"/>
      <c r="F7" s="26">
        <v>2500</v>
      </c>
    </row>
    <row r="8" spans="2:6" ht="15.75">
      <c r="B8" s="14">
        <v>42921</v>
      </c>
      <c r="C8" s="15">
        <v>1707005</v>
      </c>
      <c r="D8" s="12" t="s">
        <v>293</v>
      </c>
      <c r="E8" s="26">
        <f>500+297360+100+116820+100+15458</f>
        <v>430338</v>
      </c>
      <c r="F8" s="26"/>
    </row>
    <row r="9" spans="2:6" s="32" customFormat="1" ht="15.75">
      <c r="B9" s="6">
        <v>42921</v>
      </c>
      <c r="C9" s="36">
        <v>1707006</v>
      </c>
      <c r="D9" s="37" t="s">
        <v>549</v>
      </c>
      <c r="E9" s="24"/>
      <c r="F9" s="24">
        <v>300000</v>
      </c>
    </row>
    <row r="10" spans="2:6" ht="15.75">
      <c r="B10" s="14">
        <v>42921</v>
      </c>
      <c r="C10" s="11">
        <v>1707007</v>
      </c>
      <c r="D10" s="12" t="s">
        <v>211</v>
      </c>
      <c r="E10" s="26">
        <v>100000</v>
      </c>
      <c r="F10" s="26"/>
    </row>
    <row r="11" spans="2:6" ht="15.75">
      <c r="B11" s="14">
        <v>42922</v>
      </c>
      <c r="C11" s="11">
        <v>1707008</v>
      </c>
      <c r="D11" s="12" t="s">
        <v>294</v>
      </c>
      <c r="E11" s="26">
        <f xml:space="preserve"> 100+29925</f>
        <v>30025</v>
      </c>
      <c r="F11" s="26"/>
    </row>
    <row r="12" spans="2:6" ht="15.75">
      <c r="B12" s="14">
        <v>42923</v>
      </c>
      <c r="C12" s="15">
        <v>1707009</v>
      </c>
      <c r="D12" s="12" t="s">
        <v>295</v>
      </c>
      <c r="E12" s="26"/>
      <c r="F12" s="26">
        <v>30000</v>
      </c>
    </row>
    <row r="13" spans="2:6" ht="15.75">
      <c r="B13" s="14">
        <v>42923</v>
      </c>
      <c r="C13" s="11">
        <v>1707010</v>
      </c>
      <c r="D13" s="16" t="s">
        <v>296</v>
      </c>
      <c r="E13" s="26">
        <f>100+18479</f>
        <v>18579</v>
      </c>
      <c r="F13" s="26"/>
    </row>
    <row r="14" spans="2:6" ht="15.75">
      <c r="B14" s="14">
        <v>42924</v>
      </c>
      <c r="C14" s="11">
        <v>1707011</v>
      </c>
      <c r="D14" s="12" t="s">
        <v>297</v>
      </c>
      <c r="E14" s="26"/>
      <c r="F14" s="26">
        <v>60000</v>
      </c>
    </row>
    <row r="15" spans="2:6" ht="15.75">
      <c r="B15" s="14">
        <v>42924</v>
      </c>
      <c r="C15" s="15">
        <v>1707012</v>
      </c>
      <c r="D15" s="16" t="s">
        <v>108</v>
      </c>
      <c r="E15" s="26"/>
      <c r="F15" s="26">
        <v>620000</v>
      </c>
    </row>
    <row r="16" spans="2:6" ht="15.75">
      <c r="B16" s="14">
        <v>42924</v>
      </c>
      <c r="C16" s="11">
        <v>1707013</v>
      </c>
      <c r="D16" s="16" t="s">
        <v>298</v>
      </c>
      <c r="E16" s="26"/>
      <c r="F16" s="26">
        <v>13000</v>
      </c>
    </row>
    <row r="17" spans="2:6" ht="15.75">
      <c r="B17" s="14">
        <v>42924</v>
      </c>
      <c r="C17" s="11">
        <v>1707014</v>
      </c>
      <c r="D17" s="12" t="s">
        <v>299</v>
      </c>
      <c r="E17" s="26">
        <f>100+13039</f>
        <v>13139</v>
      </c>
      <c r="F17" s="26"/>
    </row>
    <row r="18" spans="2:6" ht="15.75">
      <c r="B18" s="14">
        <v>42926</v>
      </c>
      <c r="C18" s="11">
        <v>1707015</v>
      </c>
      <c r="D18" s="16" t="s">
        <v>300</v>
      </c>
      <c r="E18" s="26"/>
      <c r="F18" s="26">
        <v>20100</v>
      </c>
    </row>
    <row r="19" spans="2:6" ht="15.75">
      <c r="B19" s="14">
        <v>42926</v>
      </c>
      <c r="C19" s="15">
        <v>1707016</v>
      </c>
      <c r="D19" s="12" t="s">
        <v>9</v>
      </c>
      <c r="E19" s="26"/>
      <c r="F19" s="26">
        <v>73230</v>
      </c>
    </row>
    <row r="20" spans="2:6" ht="15.75">
      <c r="B20" s="14">
        <v>42927</v>
      </c>
      <c r="C20" s="11">
        <v>1707017</v>
      </c>
      <c r="D20" s="12" t="s">
        <v>301</v>
      </c>
      <c r="E20" s="26">
        <f>4047+100+11210+100+54905</f>
        <v>70362</v>
      </c>
      <c r="F20" s="26"/>
    </row>
    <row r="21" spans="2:6" ht="15.75">
      <c r="B21" s="14">
        <v>42927</v>
      </c>
      <c r="C21" s="11">
        <v>1707018</v>
      </c>
      <c r="D21" s="16" t="s">
        <v>302</v>
      </c>
      <c r="E21" s="26">
        <v>6590</v>
      </c>
      <c r="F21" s="26"/>
    </row>
    <row r="22" spans="2:6" ht="15.75">
      <c r="B22" s="14">
        <v>42927</v>
      </c>
      <c r="C22" s="15">
        <v>1707019</v>
      </c>
      <c r="D22" s="16" t="s">
        <v>303</v>
      </c>
      <c r="E22" s="26">
        <f>100+10325</f>
        <v>10425</v>
      </c>
      <c r="F22" s="26"/>
    </row>
    <row r="23" spans="2:6" ht="15.75">
      <c r="B23" s="14">
        <v>42927</v>
      </c>
      <c r="C23" s="11">
        <v>1707020</v>
      </c>
      <c r="D23" s="12" t="s">
        <v>304</v>
      </c>
      <c r="E23" s="26"/>
      <c r="F23" s="26">
        <v>10000</v>
      </c>
    </row>
    <row r="24" spans="2:6" ht="15.75">
      <c r="B24" s="14">
        <v>42928</v>
      </c>
      <c r="C24" s="11">
        <v>1707021</v>
      </c>
      <c r="D24" s="16" t="s">
        <v>305</v>
      </c>
      <c r="E24" s="26"/>
      <c r="F24" s="26">
        <v>30000</v>
      </c>
    </row>
    <row r="25" spans="2:6" ht="15.75">
      <c r="B25" s="14">
        <v>42928</v>
      </c>
      <c r="C25" s="11">
        <v>1707022</v>
      </c>
      <c r="D25" s="12" t="s">
        <v>306</v>
      </c>
      <c r="E25" s="26">
        <f>100+51552+100+92276+2360</f>
        <v>146388</v>
      </c>
      <c r="F25" s="26"/>
    </row>
    <row r="26" spans="2:6" ht="15.75">
      <c r="B26" s="14">
        <v>42929</v>
      </c>
      <c r="C26" s="15">
        <v>1707023</v>
      </c>
      <c r="D26" s="16" t="s">
        <v>307</v>
      </c>
      <c r="E26" s="26"/>
      <c r="F26" s="26">
        <v>23835</v>
      </c>
    </row>
    <row r="27" spans="2:6" ht="15.75">
      <c r="B27" s="14">
        <v>42929</v>
      </c>
      <c r="C27" s="11">
        <v>1707024</v>
      </c>
      <c r="D27" s="12" t="s">
        <v>308</v>
      </c>
      <c r="E27" s="26">
        <f>100+34397</f>
        <v>34497</v>
      </c>
      <c r="F27" s="26"/>
    </row>
    <row r="28" spans="2:6" ht="15.75">
      <c r="B28" s="14">
        <v>42930</v>
      </c>
      <c r="C28" s="11">
        <v>1707025</v>
      </c>
      <c r="D28" s="16" t="s">
        <v>309</v>
      </c>
      <c r="E28" s="26">
        <f>4626+100+12272+100+17700</f>
        <v>34798</v>
      </c>
      <c r="F28" s="26"/>
    </row>
    <row r="29" spans="2:6" ht="15.75">
      <c r="B29" s="14">
        <v>42931</v>
      </c>
      <c r="C29" s="15">
        <v>1707026</v>
      </c>
      <c r="D29" s="12" t="s">
        <v>310</v>
      </c>
      <c r="E29" s="26"/>
      <c r="F29" s="26">
        <v>20000</v>
      </c>
    </row>
    <row r="30" spans="2:6" ht="15.75">
      <c r="B30" s="14">
        <v>42931</v>
      </c>
      <c r="C30" s="11">
        <v>1707027</v>
      </c>
      <c r="D30" s="16" t="s">
        <v>311</v>
      </c>
      <c r="E30" s="26"/>
      <c r="F30" s="26">
        <v>17000</v>
      </c>
    </row>
    <row r="31" spans="2:6" ht="15.75">
      <c r="B31" s="14">
        <v>42933</v>
      </c>
      <c r="C31" s="11">
        <v>1707028</v>
      </c>
      <c r="D31" s="12" t="s">
        <v>312</v>
      </c>
      <c r="E31" s="26"/>
      <c r="F31" s="26">
        <v>2000</v>
      </c>
    </row>
    <row r="32" spans="2:6" ht="15.75">
      <c r="B32" s="14">
        <v>42933</v>
      </c>
      <c r="C32" s="11">
        <v>1707029</v>
      </c>
      <c r="D32" s="12" t="s">
        <v>313</v>
      </c>
      <c r="E32" s="26">
        <f>100+12340+4720+100+16048+100+15104+100+21830+100+10030</f>
        <v>80572</v>
      </c>
      <c r="F32" s="26"/>
    </row>
    <row r="33" spans="2:6" ht="15.75">
      <c r="B33" s="14">
        <v>42933</v>
      </c>
      <c r="C33" s="15">
        <v>1707030</v>
      </c>
      <c r="D33" s="12" t="s">
        <v>314</v>
      </c>
      <c r="E33" s="26"/>
      <c r="F33" s="24">
        <v>19300</v>
      </c>
    </row>
    <row r="34" spans="2:6" ht="15.75">
      <c r="B34" s="14">
        <v>42933</v>
      </c>
      <c r="C34" s="11">
        <v>1707031</v>
      </c>
      <c r="D34" s="16" t="s">
        <v>9</v>
      </c>
      <c r="E34" s="26"/>
      <c r="F34" s="26">
        <v>44660</v>
      </c>
    </row>
    <row r="35" spans="2:6" ht="15.75">
      <c r="B35" s="14">
        <v>42933</v>
      </c>
      <c r="C35" s="11">
        <v>1707032</v>
      </c>
      <c r="D35" s="12" t="s">
        <v>315</v>
      </c>
      <c r="E35" s="26"/>
      <c r="F35" s="29">
        <v>41530</v>
      </c>
    </row>
    <row r="36" spans="2:6" ht="15.75">
      <c r="B36" s="14">
        <v>42933</v>
      </c>
      <c r="C36" s="15">
        <v>1707033</v>
      </c>
      <c r="D36" s="12" t="s">
        <v>316</v>
      </c>
      <c r="E36" s="26"/>
      <c r="F36" s="26">
        <v>44014</v>
      </c>
    </row>
    <row r="37" spans="2:6" ht="15.75">
      <c r="B37" s="14">
        <v>42933</v>
      </c>
      <c r="C37" s="11">
        <v>1707034</v>
      </c>
      <c r="D37" s="16" t="s">
        <v>317</v>
      </c>
      <c r="E37" s="26"/>
      <c r="F37" s="26">
        <v>20000</v>
      </c>
    </row>
    <row r="38" spans="2:6" ht="15.75">
      <c r="B38" s="14">
        <v>42934</v>
      </c>
      <c r="C38" s="11">
        <v>1707035</v>
      </c>
      <c r="D38" s="16" t="s">
        <v>33</v>
      </c>
      <c r="E38" s="26"/>
      <c r="F38" s="26">
        <v>5000</v>
      </c>
    </row>
    <row r="39" spans="2:6" ht="15.75">
      <c r="B39" s="14">
        <v>42934</v>
      </c>
      <c r="C39" s="11">
        <v>1707036</v>
      </c>
      <c r="D39" s="12" t="s">
        <v>318</v>
      </c>
      <c r="E39" s="26"/>
      <c r="F39" s="26">
        <v>20000</v>
      </c>
    </row>
    <row r="40" spans="2:6" ht="15.75">
      <c r="B40" s="14">
        <v>42935</v>
      </c>
      <c r="C40" s="15">
        <v>1707037</v>
      </c>
      <c r="D40" s="16" t="s">
        <v>319</v>
      </c>
      <c r="E40" s="26">
        <v>6600</v>
      </c>
      <c r="F40" s="26"/>
    </row>
    <row r="41" spans="2:6" ht="15.75">
      <c r="B41" s="14">
        <v>42935</v>
      </c>
      <c r="C41" s="11">
        <v>1707038</v>
      </c>
      <c r="D41" s="12" t="s">
        <v>320</v>
      </c>
      <c r="E41" s="26">
        <f>100+35164+100+14443</f>
        <v>49807</v>
      </c>
      <c r="F41" s="26"/>
    </row>
    <row r="42" spans="2:6" ht="15.75">
      <c r="B42" s="14">
        <v>42936</v>
      </c>
      <c r="C42" s="11">
        <v>1707039</v>
      </c>
      <c r="D42" s="16" t="s">
        <v>321</v>
      </c>
      <c r="E42" s="26">
        <f>100+10156+100+35225+100+54044</f>
        <v>99725</v>
      </c>
      <c r="F42" s="25"/>
    </row>
    <row r="43" spans="2:6" ht="15.75">
      <c r="B43" s="14">
        <v>42937</v>
      </c>
      <c r="C43" s="15">
        <v>1707040</v>
      </c>
      <c r="D43" s="12" t="s">
        <v>322</v>
      </c>
      <c r="E43" s="26"/>
      <c r="F43" s="25">
        <v>3000</v>
      </c>
    </row>
    <row r="44" spans="2:6" ht="15.75">
      <c r="B44" s="14">
        <v>42937</v>
      </c>
      <c r="C44" s="11">
        <v>1707041</v>
      </c>
      <c r="D44" s="16" t="s">
        <v>323</v>
      </c>
      <c r="E44" s="26"/>
      <c r="F44" s="25">
        <v>36000</v>
      </c>
    </row>
    <row r="45" spans="2:6" ht="15.75">
      <c r="B45" s="14">
        <v>42938</v>
      </c>
      <c r="C45" s="15">
        <v>1707042</v>
      </c>
      <c r="D45" s="16" t="s">
        <v>324</v>
      </c>
      <c r="E45" s="25"/>
      <c r="F45" s="25">
        <v>19500</v>
      </c>
    </row>
    <row r="46" spans="2:6" ht="15.75">
      <c r="B46" s="14">
        <v>42938</v>
      </c>
      <c r="C46" s="11">
        <v>1707043</v>
      </c>
      <c r="D46" s="16" t="s">
        <v>41</v>
      </c>
      <c r="E46" s="25"/>
      <c r="F46" s="25">
        <v>2000</v>
      </c>
    </row>
    <row r="47" spans="2:6" ht="15.75">
      <c r="B47" s="14">
        <v>42938</v>
      </c>
      <c r="C47" s="15">
        <v>1707044</v>
      </c>
      <c r="D47" s="16" t="s">
        <v>325</v>
      </c>
      <c r="E47" s="25">
        <f>100+18585</f>
        <v>18685</v>
      </c>
      <c r="F47" s="25"/>
    </row>
    <row r="48" spans="2:6" ht="15.75">
      <c r="B48" s="14">
        <v>42938</v>
      </c>
      <c r="C48" s="11">
        <v>1707045</v>
      </c>
      <c r="D48" s="16" t="s">
        <v>326</v>
      </c>
      <c r="E48" s="25"/>
      <c r="F48" s="25">
        <v>150000</v>
      </c>
    </row>
    <row r="49" spans="2:6" ht="15.75">
      <c r="B49" s="14">
        <v>42938</v>
      </c>
      <c r="C49" s="15">
        <v>1707046</v>
      </c>
      <c r="D49" s="16" t="s">
        <v>327</v>
      </c>
      <c r="E49" s="25"/>
      <c r="F49" s="25">
        <v>23800</v>
      </c>
    </row>
    <row r="50" spans="2:6" ht="15.75">
      <c r="B50" s="14">
        <v>42940</v>
      </c>
      <c r="C50" s="11">
        <v>1707047</v>
      </c>
      <c r="D50" s="16" t="s">
        <v>328</v>
      </c>
      <c r="E50" s="25"/>
      <c r="F50" s="25">
        <v>30100</v>
      </c>
    </row>
    <row r="51" spans="2:6" ht="15.75">
      <c r="B51" s="14">
        <v>42940</v>
      </c>
      <c r="C51" s="15">
        <v>1707048</v>
      </c>
      <c r="D51" s="16" t="s">
        <v>329</v>
      </c>
      <c r="E51" s="25"/>
      <c r="F51" s="25">
        <v>20000</v>
      </c>
    </row>
    <row r="52" spans="2:6" ht="15.75">
      <c r="B52" s="14">
        <v>42940</v>
      </c>
      <c r="C52" s="11">
        <v>1707049</v>
      </c>
      <c r="D52" s="16" t="s">
        <v>330</v>
      </c>
      <c r="E52" s="25">
        <f>100+15557+100+8260+100+30302+100+32096+100+24393</f>
        <v>111108</v>
      </c>
      <c r="F52" s="25"/>
    </row>
    <row r="53" spans="2:6" ht="15.75">
      <c r="B53" s="14">
        <v>42941</v>
      </c>
      <c r="C53" s="15">
        <v>1707050</v>
      </c>
      <c r="D53" s="16" t="s">
        <v>31</v>
      </c>
      <c r="E53" s="25"/>
      <c r="F53" s="25">
        <v>38665</v>
      </c>
    </row>
    <row r="54" spans="2:6" ht="15.75">
      <c r="B54" s="14">
        <v>42941</v>
      </c>
      <c r="C54" s="11">
        <v>1707051</v>
      </c>
      <c r="D54" s="16" t="s">
        <v>331</v>
      </c>
      <c r="E54" s="25">
        <f>100+69458</f>
        <v>69558</v>
      </c>
      <c r="F54" s="25"/>
    </row>
    <row r="55" spans="2:6" ht="15.75">
      <c r="B55" s="14">
        <v>42942</v>
      </c>
      <c r="C55" s="15">
        <v>1707052</v>
      </c>
      <c r="D55" s="16" t="s">
        <v>332</v>
      </c>
      <c r="E55" s="25">
        <f>100+9204+100+21565+100+34409+100+6468+100+8118</f>
        <v>80264</v>
      </c>
      <c r="F55" s="25"/>
    </row>
    <row r="56" spans="2:6" ht="15.75">
      <c r="B56" s="14">
        <v>42913</v>
      </c>
      <c r="C56" s="11">
        <v>1707053</v>
      </c>
      <c r="D56" s="16" t="s">
        <v>333</v>
      </c>
      <c r="E56" s="25"/>
      <c r="F56" s="25">
        <v>9500</v>
      </c>
    </row>
    <row r="57" spans="2:6" ht="15.75">
      <c r="B57" s="14">
        <v>42943</v>
      </c>
      <c r="C57" s="15">
        <v>1707054</v>
      </c>
      <c r="D57" s="16" t="s">
        <v>334</v>
      </c>
      <c r="E57" s="25">
        <f>2006</f>
        <v>2006</v>
      </c>
      <c r="F57" s="25"/>
    </row>
    <row r="58" spans="2:6" ht="15.75">
      <c r="B58" s="14">
        <v>42944</v>
      </c>
      <c r="C58" s="11">
        <v>1707055</v>
      </c>
      <c r="D58" s="12" t="s">
        <v>335</v>
      </c>
      <c r="E58" s="25"/>
      <c r="F58" s="25">
        <v>10000</v>
      </c>
    </row>
    <row r="59" spans="2:6" ht="15.75">
      <c r="B59" s="14">
        <v>42944</v>
      </c>
      <c r="C59" s="15">
        <v>1707056</v>
      </c>
      <c r="D59" s="16" t="s">
        <v>336</v>
      </c>
      <c r="E59" s="25"/>
      <c r="F59" s="25">
        <v>105600</v>
      </c>
    </row>
    <row r="60" spans="2:6" ht="15.75">
      <c r="B60" s="14">
        <v>42944</v>
      </c>
      <c r="C60" s="11">
        <v>1707057</v>
      </c>
      <c r="D60" s="16" t="s">
        <v>337</v>
      </c>
      <c r="E60" s="25"/>
      <c r="F60" s="25">
        <v>8000</v>
      </c>
    </row>
    <row r="61" spans="2:6" ht="15.75">
      <c r="B61" s="14">
        <v>42944</v>
      </c>
      <c r="C61" s="15">
        <v>1707058</v>
      </c>
      <c r="D61" s="16" t="s">
        <v>8</v>
      </c>
      <c r="E61" s="25"/>
      <c r="F61" s="25">
        <v>9658</v>
      </c>
    </row>
    <row r="62" spans="2:6" ht="15.75">
      <c r="B62" s="14">
        <v>42944</v>
      </c>
      <c r="C62" s="11">
        <v>1707059</v>
      </c>
      <c r="D62" s="16" t="s">
        <v>338</v>
      </c>
      <c r="E62" s="25">
        <f>100+7375+100+53100</f>
        <v>60675</v>
      </c>
      <c r="F62" s="25"/>
    </row>
    <row r="63" spans="2:6" ht="15.75">
      <c r="B63" s="14">
        <v>42945</v>
      </c>
      <c r="C63" s="15">
        <v>1707060</v>
      </c>
      <c r="D63" s="16" t="s">
        <v>9</v>
      </c>
      <c r="E63" s="25"/>
      <c r="F63" s="25">
        <v>84606</v>
      </c>
    </row>
    <row r="64" spans="2:6" ht="15.75">
      <c r="B64" s="14">
        <v>42945</v>
      </c>
      <c r="C64" s="11">
        <v>1707061</v>
      </c>
      <c r="D64" s="16" t="s">
        <v>339</v>
      </c>
      <c r="E64" s="25"/>
      <c r="F64" s="25">
        <v>92500</v>
      </c>
    </row>
    <row r="65" spans="2:6" ht="15.75">
      <c r="B65" s="14">
        <v>42945</v>
      </c>
      <c r="C65" s="15">
        <v>1707062</v>
      </c>
      <c r="D65" s="16" t="s">
        <v>340</v>
      </c>
      <c r="E65" s="25">
        <f>100+45614</f>
        <v>45714</v>
      </c>
      <c r="F65" s="25"/>
    </row>
    <row r="66" spans="2:6" ht="15.75">
      <c r="B66" s="14">
        <v>42945</v>
      </c>
      <c r="C66" s="11">
        <v>1707063</v>
      </c>
      <c r="D66" s="16" t="s">
        <v>341</v>
      </c>
      <c r="E66" s="25"/>
      <c r="F66" s="25">
        <v>15500</v>
      </c>
    </row>
    <row r="67" spans="2:6" ht="15.75">
      <c r="B67" s="14">
        <v>42947</v>
      </c>
      <c r="C67" s="15">
        <v>1707064</v>
      </c>
      <c r="D67" s="16" t="s">
        <v>19</v>
      </c>
      <c r="E67" s="25"/>
      <c r="F67" s="25">
        <v>60000</v>
      </c>
    </row>
    <row r="68" spans="2:6" ht="15.75">
      <c r="B68" s="14">
        <v>42947</v>
      </c>
      <c r="C68" s="11">
        <v>1707065</v>
      </c>
      <c r="D68" s="16" t="s">
        <v>5</v>
      </c>
      <c r="E68" s="25"/>
      <c r="F68" s="25">
        <v>10000</v>
      </c>
    </row>
    <row r="69" spans="2:6" ht="15.75">
      <c r="B69" s="14">
        <v>42947</v>
      </c>
      <c r="C69" s="15">
        <v>1707066</v>
      </c>
      <c r="D69" s="16" t="s">
        <v>41</v>
      </c>
      <c r="E69" s="25"/>
      <c r="F69" s="25">
        <v>2000</v>
      </c>
    </row>
    <row r="70" spans="2:6" ht="15.75">
      <c r="B70" s="14">
        <v>42947</v>
      </c>
      <c r="C70" s="11">
        <v>1707067</v>
      </c>
      <c r="D70" s="16" t="s">
        <v>342</v>
      </c>
      <c r="E70" s="25"/>
      <c r="F70" s="33">
        <v>72000</v>
      </c>
    </row>
    <row r="71" spans="2:6" ht="15.75">
      <c r="B71" s="14">
        <v>42947</v>
      </c>
      <c r="C71" s="15">
        <v>1707068</v>
      </c>
      <c r="D71" s="16" t="s">
        <v>342</v>
      </c>
      <c r="E71" s="25"/>
      <c r="F71" s="33">
        <v>50000</v>
      </c>
    </row>
    <row r="72" spans="2:6" ht="15.75">
      <c r="B72" s="14">
        <v>42947</v>
      </c>
      <c r="C72" s="11">
        <v>1707069</v>
      </c>
      <c r="D72" s="16" t="s">
        <v>343</v>
      </c>
      <c r="E72" s="25"/>
      <c r="F72" s="25">
        <v>315000</v>
      </c>
    </row>
    <row r="73" spans="2:6" ht="15.75">
      <c r="B73" s="14">
        <v>42947</v>
      </c>
      <c r="C73" s="15">
        <v>1707070</v>
      </c>
      <c r="D73" s="16" t="s">
        <v>344</v>
      </c>
      <c r="E73" s="25">
        <f>100+14644+100+20650+5310+4407+100+10818+3233+100+8231+100+22793</f>
        <v>90586</v>
      </c>
      <c r="F73" s="25"/>
    </row>
    <row r="74" spans="2:6" ht="15.75">
      <c r="B74" s="18"/>
      <c r="C74" s="19"/>
      <c r="D74" s="20"/>
      <c r="E74" s="25">
        <f>SUM(E3:E73)</f>
        <v>5041762</v>
      </c>
      <c r="F74" s="25">
        <f>SUM(F3:F73)</f>
        <v>2583598</v>
      </c>
    </row>
    <row r="75" spans="2:6">
      <c r="B75" s="5"/>
      <c r="C75" s="27"/>
    </row>
    <row r="76" spans="2:6">
      <c r="B76" s="5"/>
      <c r="C76" s="27"/>
      <c r="E76" s="21" t="s">
        <v>6</v>
      </c>
      <c r="F76" s="17">
        <f>E74-F74</f>
        <v>2458164</v>
      </c>
    </row>
  </sheetData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69"/>
  <sheetViews>
    <sheetView topLeftCell="A61" workbookViewId="0">
      <selection activeCell="E3" sqref="E3"/>
    </sheetView>
  </sheetViews>
  <sheetFormatPr baseColWidth="10" defaultRowHeight="15"/>
  <cols>
    <col min="2" max="2" width="12.42578125" customWidth="1"/>
    <col min="3" max="3" width="14.85546875" customWidth="1"/>
    <col min="4" max="4" width="46" bestFit="1" customWidth="1"/>
    <col min="5" max="6" width="14.140625" bestFit="1" customWidth="1"/>
    <col min="9" max="9" width="15.57031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42948</v>
      </c>
      <c r="C3" s="22"/>
      <c r="D3" s="8" t="s">
        <v>345</v>
      </c>
      <c r="E3" s="24">
        <f>'JUILLET 2017'!F76</f>
        <v>2458164</v>
      </c>
      <c r="F3" s="24"/>
    </row>
    <row r="4" spans="2:6" ht="15.75">
      <c r="B4" s="10">
        <v>42948</v>
      </c>
      <c r="C4" s="11">
        <v>1708001</v>
      </c>
      <c r="D4" s="12" t="s">
        <v>347</v>
      </c>
      <c r="E4" s="25"/>
      <c r="F4" s="25">
        <v>80500</v>
      </c>
    </row>
    <row r="5" spans="2:6" ht="15.75">
      <c r="B5" s="14">
        <v>42948</v>
      </c>
      <c r="C5" s="15">
        <v>1708002</v>
      </c>
      <c r="D5" s="12" t="s">
        <v>348</v>
      </c>
      <c r="E5" s="26"/>
      <c r="F5" s="26">
        <v>80500</v>
      </c>
    </row>
    <row r="6" spans="2:6" ht="15.75">
      <c r="B6" s="14">
        <v>42948</v>
      </c>
      <c r="C6" s="11">
        <v>1708003</v>
      </c>
      <c r="D6" s="16" t="s">
        <v>346</v>
      </c>
      <c r="E6" s="26">
        <f>4814+100+26078+100+19409+100+49914</f>
        <v>100515</v>
      </c>
      <c r="F6" s="26"/>
    </row>
    <row r="7" spans="2:6" ht="15.75">
      <c r="B7" s="14">
        <v>42949</v>
      </c>
      <c r="C7" s="15">
        <v>1708004</v>
      </c>
      <c r="D7" s="12" t="s">
        <v>17</v>
      </c>
      <c r="E7" s="26"/>
      <c r="F7" s="26">
        <v>2253</v>
      </c>
    </row>
    <row r="8" spans="2:6" ht="15.75">
      <c r="B8" s="14">
        <v>42949</v>
      </c>
      <c r="C8" s="11">
        <v>1708005</v>
      </c>
      <c r="D8" s="12" t="s">
        <v>8</v>
      </c>
      <c r="E8" s="26"/>
      <c r="F8" s="26">
        <v>26709</v>
      </c>
    </row>
    <row r="9" spans="2:6" ht="15.75">
      <c r="B9" s="14">
        <v>42949</v>
      </c>
      <c r="C9" s="15">
        <v>1708006</v>
      </c>
      <c r="D9" s="12" t="s">
        <v>349</v>
      </c>
      <c r="E9" s="26">
        <f>100+13466+500+129281+100+32332</f>
        <v>175779</v>
      </c>
      <c r="F9" s="26"/>
    </row>
    <row r="10" spans="2:6" ht="15.75">
      <c r="B10" s="14">
        <v>42950</v>
      </c>
      <c r="C10" s="11">
        <v>1708007</v>
      </c>
      <c r="D10" s="12" t="s">
        <v>350</v>
      </c>
      <c r="E10" s="26"/>
      <c r="F10" s="26">
        <v>20000</v>
      </c>
    </row>
    <row r="11" spans="2:6" ht="15.75">
      <c r="B11" s="14">
        <v>42950</v>
      </c>
      <c r="C11" s="15">
        <v>1708008</v>
      </c>
      <c r="D11" s="12" t="s">
        <v>9</v>
      </c>
      <c r="E11" s="26"/>
      <c r="F11" s="26">
        <v>36850</v>
      </c>
    </row>
    <row r="12" spans="2:6" ht="15.75">
      <c r="B12" s="14">
        <v>42950</v>
      </c>
      <c r="C12" s="11">
        <v>1708009</v>
      </c>
      <c r="D12" s="12" t="s">
        <v>351</v>
      </c>
      <c r="E12" s="26">
        <f>100+9062</f>
        <v>9162</v>
      </c>
      <c r="F12" s="26"/>
    </row>
    <row r="13" spans="2:6" ht="15.75">
      <c r="B13" s="14">
        <v>42951</v>
      </c>
      <c r="C13" s="15">
        <v>1708010</v>
      </c>
      <c r="D13" s="16" t="s">
        <v>45</v>
      </c>
      <c r="E13" s="26"/>
      <c r="F13" s="26">
        <v>2500</v>
      </c>
    </row>
    <row r="14" spans="2:6" ht="15.75">
      <c r="B14" s="14">
        <v>42952</v>
      </c>
      <c r="C14" s="11">
        <v>1708011</v>
      </c>
      <c r="D14" s="16" t="s">
        <v>352</v>
      </c>
      <c r="E14" s="26"/>
      <c r="F14" s="26">
        <v>14500</v>
      </c>
    </row>
    <row r="15" spans="2:6" ht="15.75">
      <c r="B15" s="14">
        <v>42955</v>
      </c>
      <c r="C15" s="15">
        <v>1708012</v>
      </c>
      <c r="D15" s="16" t="s">
        <v>353</v>
      </c>
      <c r="E15" s="26">
        <f>100+20001</f>
        <v>20101</v>
      </c>
      <c r="F15" s="26"/>
    </row>
    <row r="16" spans="2:6" ht="15.75">
      <c r="B16" s="14">
        <v>42956</v>
      </c>
      <c r="C16" s="11">
        <v>1708013</v>
      </c>
      <c r="D16" s="16" t="s">
        <v>354</v>
      </c>
      <c r="E16" s="26">
        <f>100+14750+100+52109+100+8092+100+9912</f>
        <v>85263</v>
      </c>
      <c r="F16" s="26"/>
    </row>
    <row r="17" spans="2:10" ht="15.75">
      <c r="B17" s="14">
        <v>42957</v>
      </c>
      <c r="C17" s="15">
        <v>1708014</v>
      </c>
      <c r="D17" s="12" t="s">
        <v>234</v>
      </c>
      <c r="E17" s="26"/>
      <c r="F17" s="26">
        <v>60000</v>
      </c>
    </row>
    <row r="18" spans="2:10" ht="15.75">
      <c r="B18" s="14">
        <v>42957</v>
      </c>
      <c r="C18" s="11">
        <v>1708015</v>
      </c>
      <c r="D18" s="12" t="s">
        <v>355</v>
      </c>
      <c r="E18" s="26"/>
      <c r="F18" s="26">
        <v>30000</v>
      </c>
    </row>
    <row r="19" spans="2:10" ht="15.75">
      <c r="B19" s="14">
        <v>42957</v>
      </c>
      <c r="C19" s="15">
        <v>1708016</v>
      </c>
      <c r="D19" s="12" t="s">
        <v>356</v>
      </c>
      <c r="E19" s="26"/>
      <c r="F19" s="26">
        <v>8000</v>
      </c>
    </row>
    <row r="20" spans="2:10" ht="15.75">
      <c r="B20" s="14">
        <v>42957</v>
      </c>
      <c r="C20" s="11">
        <v>1708017</v>
      </c>
      <c r="D20" s="16" t="s">
        <v>45</v>
      </c>
      <c r="E20" s="26"/>
      <c r="F20" s="26">
        <v>2500</v>
      </c>
    </row>
    <row r="21" spans="2:10" ht="15.75">
      <c r="B21" s="14">
        <v>42957</v>
      </c>
      <c r="C21" s="15">
        <v>1708018</v>
      </c>
      <c r="D21" s="16" t="s">
        <v>357</v>
      </c>
      <c r="E21" s="26"/>
      <c r="F21" s="26">
        <v>7000</v>
      </c>
    </row>
    <row r="22" spans="2:10" ht="15.75">
      <c r="B22" s="14">
        <v>42957</v>
      </c>
      <c r="C22" s="11">
        <v>1708019</v>
      </c>
      <c r="D22" s="16" t="s">
        <v>358</v>
      </c>
      <c r="E22" s="26">
        <f>100+25075</f>
        <v>25175</v>
      </c>
      <c r="F22" s="26"/>
    </row>
    <row r="23" spans="2:10" s="32" customFormat="1" ht="15.75">
      <c r="B23" s="6">
        <v>42958</v>
      </c>
      <c r="C23" s="34">
        <v>1708020</v>
      </c>
      <c r="D23" s="37" t="s">
        <v>550</v>
      </c>
      <c r="E23" s="24"/>
      <c r="F23" s="24">
        <v>300000</v>
      </c>
    </row>
    <row r="24" spans="2:10" ht="15.75">
      <c r="B24" s="14">
        <v>42958</v>
      </c>
      <c r="C24" s="11">
        <v>1708021</v>
      </c>
      <c r="D24" s="16" t="s">
        <v>39</v>
      </c>
      <c r="E24" s="26">
        <v>1500000</v>
      </c>
      <c r="F24" s="26"/>
    </row>
    <row r="25" spans="2:10" ht="15.75">
      <c r="B25" s="14">
        <v>42958</v>
      </c>
      <c r="C25" s="15">
        <v>1708022</v>
      </c>
      <c r="D25" s="12" t="s">
        <v>359</v>
      </c>
      <c r="E25" s="26"/>
      <c r="F25" s="26">
        <v>250000</v>
      </c>
    </row>
    <row r="26" spans="2:10" ht="15.75">
      <c r="B26" s="14">
        <v>42958</v>
      </c>
      <c r="C26" s="11">
        <v>1708023</v>
      </c>
      <c r="D26" s="12" t="s">
        <v>360</v>
      </c>
      <c r="E26" s="26"/>
      <c r="F26" s="26">
        <v>1000000</v>
      </c>
      <c r="H26" s="32"/>
      <c r="I26" s="32"/>
      <c r="J26" s="32"/>
    </row>
    <row r="27" spans="2:10" ht="15.75">
      <c r="B27" s="14">
        <v>42958</v>
      </c>
      <c r="C27" s="15">
        <v>1708024</v>
      </c>
      <c r="D27" s="12" t="s">
        <v>361</v>
      </c>
      <c r="E27" s="26">
        <f>100+22255+100+18054</f>
        <v>40509</v>
      </c>
      <c r="F27" s="26"/>
      <c r="H27" s="32"/>
      <c r="I27" s="32"/>
      <c r="J27" s="32"/>
    </row>
    <row r="28" spans="2:10" ht="15.75">
      <c r="B28" s="14">
        <v>42959</v>
      </c>
      <c r="C28" s="11">
        <v>1708025</v>
      </c>
      <c r="D28" s="16" t="s">
        <v>362</v>
      </c>
      <c r="E28" s="26">
        <f>100+18446+100+24827+100+17899</f>
        <v>61472</v>
      </c>
      <c r="F28" s="26"/>
      <c r="H28" s="32"/>
      <c r="I28" s="32"/>
      <c r="J28" s="32"/>
    </row>
    <row r="29" spans="2:10" ht="15.75">
      <c r="B29" s="14">
        <v>42959</v>
      </c>
      <c r="C29" s="15">
        <v>1708026</v>
      </c>
      <c r="D29" s="16" t="s">
        <v>363</v>
      </c>
      <c r="E29" s="26"/>
      <c r="F29" s="26">
        <v>5000</v>
      </c>
      <c r="H29" s="32"/>
      <c r="I29" s="32"/>
      <c r="J29" s="32"/>
    </row>
    <row r="30" spans="2:10" ht="15.75">
      <c r="B30" s="14">
        <v>42961</v>
      </c>
      <c r="C30" s="11">
        <v>1708027</v>
      </c>
      <c r="D30" s="12" t="s">
        <v>364</v>
      </c>
      <c r="E30" s="26">
        <f>100+39368+100+59738</f>
        <v>99306</v>
      </c>
      <c r="F30" s="26"/>
    </row>
    <row r="31" spans="2:10" ht="15.75">
      <c r="B31" s="14">
        <v>42962</v>
      </c>
      <c r="C31" s="15">
        <v>1708028</v>
      </c>
      <c r="D31" s="12" t="s">
        <v>5</v>
      </c>
      <c r="E31" s="26"/>
      <c r="F31" s="26">
        <v>5000</v>
      </c>
    </row>
    <row r="32" spans="2:10" ht="15.75">
      <c r="B32" s="14">
        <v>42963</v>
      </c>
      <c r="C32" s="11">
        <v>1708029</v>
      </c>
      <c r="D32" s="12" t="s">
        <v>114</v>
      </c>
      <c r="E32" s="26"/>
      <c r="F32" s="26">
        <v>500</v>
      </c>
    </row>
    <row r="33" spans="2:6" ht="15.75">
      <c r="B33" s="14">
        <v>42963</v>
      </c>
      <c r="C33" s="15">
        <v>1708030</v>
      </c>
      <c r="D33" s="12" t="s">
        <v>365</v>
      </c>
      <c r="E33" s="26">
        <f>500+184760</f>
        <v>185260</v>
      </c>
      <c r="F33" s="26"/>
    </row>
    <row r="34" spans="2:6" ht="15.75">
      <c r="B34" s="14">
        <v>42964</v>
      </c>
      <c r="C34" s="11">
        <v>1708031</v>
      </c>
      <c r="D34" s="12" t="s">
        <v>366</v>
      </c>
      <c r="E34" s="26"/>
      <c r="F34" s="26">
        <v>1000</v>
      </c>
    </row>
    <row r="35" spans="2:6" ht="15.75">
      <c r="B35" s="14">
        <v>42964</v>
      </c>
      <c r="C35" s="15">
        <v>1708032</v>
      </c>
      <c r="D35" s="12" t="s">
        <v>367</v>
      </c>
      <c r="E35" s="26">
        <f>100+7322+100+6974</f>
        <v>14496</v>
      </c>
      <c r="F35" s="29"/>
    </row>
    <row r="36" spans="2:6" ht="15.75">
      <c r="B36" s="14">
        <v>42965</v>
      </c>
      <c r="C36" s="11">
        <v>1708033</v>
      </c>
      <c r="D36" s="12" t="s">
        <v>368</v>
      </c>
      <c r="E36" s="26"/>
      <c r="F36" s="26">
        <v>60000</v>
      </c>
    </row>
    <row r="37" spans="2:6" ht="15.75">
      <c r="B37" s="14">
        <v>42965</v>
      </c>
      <c r="C37" s="15">
        <v>1708034</v>
      </c>
      <c r="D37" s="12" t="s">
        <v>359</v>
      </c>
      <c r="E37" s="26"/>
      <c r="F37" s="26">
        <v>50000</v>
      </c>
    </row>
    <row r="38" spans="2:6" ht="15.75">
      <c r="B38" s="14">
        <v>42965</v>
      </c>
      <c r="C38" s="11">
        <v>1708035</v>
      </c>
      <c r="D38" s="16" t="s">
        <v>243</v>
      </c>
      <c r="E38" s="26"/>
      <c r="F38" s="26">
        <v>20000</v>
      </c>
    </row>
    <row r="39" spans="2:6" ht="15.75">
      <c r="B39" s="14">
        <v>42965</v>
      </c>
      <c r="C39" s="15">
        <v>1708036</v>
      </c>
      <c r="D39" s="12" t="s">
        <v>9</v>
      </c>
      <c r="E39" s="26"/>
      <c r="F39" s="26">
        <v>40800</v>
      </c>
    </row>
    <row r="40" spans="2:6" ht="15.75">
      <c r="B40" s="14">
        <v>42965</v>
      </c>
      <c r="C40" s="11">
        <v>1708037</v>
      </c>
      <c r="D40" s="16" t="s">
        <v>369</v>
      </c>
      <c r="E40" s="26"/>
      <c r="F40" s="26">
        <v>138750</v>
      </c>
    </row>
    <row r="41" spans="2:6" ht="15.75">
      <c r="B41" s="14">
        <v>42965</v>
      </c>
      <c r="C41" s="15">
        <v>1708038</v>
      </c>
      <c r="D41" s="12" t="s">
        <v>370</v>
      </c>
      <c r="E41" s="26">
        <f>100+11894+100+14544</f>
        <v>26638</v>
      </c>
      <c r="F41" s="26"/>
    </row>
    <row r="42" spans="2:6" ht="15.75">
      <c r="B42" s="14">
        <v>42966</v>
      </c>
      <c r="C42" s="11">
        <v>1708039</v>
      </c>
      <c r="D42" s="16" t="s">
        <v>371</v>
      </c>
      <c r="E42" s="26"/>
      <c r="F42" s="25">
        <v>8000</v>
      </c>
    </row>
    <row r="43" spans="2:6" ht="15.75">
      <c r="B43" s="14">
        <v>42968</v>
      </c>
      <c r="C43" s="15">
        <v>1708040</v>
      </c>
      <c r="D43" s="16" t="s">
        <v>41</v>
      </c>
      <c r="E43" s="26"/>
      <c r="F43" s="25">
        <v>2000</v>
      </c>
    </row>
    <row r="44" spans="2:6" ht="15.75">
      <c r="B44" s="14">
        <v>42968</v>
      </c>
      <c r="C44" s="11">
        <v>1708041</v>
      </c>
      <c r="D44" s="16" t="s">
        <v>114</v>
      </c>
      <c r="E44" s="26"/>
      <c r="F44" s="25">
        <v>500</v>
      </c>
    </row>
    <row r="45" spans="2:6" ht="15.75">
      <c r="B45" s="14">
        <v>42968</v>
      </c>
      <c r="C45" s="15">
        <v>1708042</v>
      </c>
      <c r="D45" s="16" t="s">
        <v>372</v>
      </c>
      <c r="E45" s="25">
        <f>100+11328+100+33040</f>
        <v>44568</v>
      </c>
      <c r="F45" s="25"/>
    </row>
    <row r="46" spans="2:6" ht="15" customHeight="1">
      <c r="B46" s="14">
        <v>42968</v>
      </c>
      <c r="C46" s="11">
        <v>1708043</v>
      </c>
      <c r="D46" s="12" t="s">
        <v>350</v>
      </c>
      <c r="E46" s="25"/>
      <c r="F46" s="33">
        <v>50000</v>
      </c>
    </row>
    <row r="47" spans="2:6" ht="15.75">
      <c r="B47" s="14">
        <v>42969</v>
      </c>
      <c r="C47" s="15">
        <v>1708044</v>
      </c>
      <c r="D47" s="12" t="s">
        <v>373</v>
      </c>
      <c r="E47" s="25"/>
      <c r="F47" s="25">
        <v>10000</v>
      </c>
    </row>
    <row r="48" spans="2:6" ht="15.75">
      <c r="B48" s="14">
        <v>42969</v>
      </c>
      <c r="C48" s="11">
        <v>1708045</v>
      </c>
      <c r="D48" s="16" t="s">
        <v>19</v>
      </c>
      <c r="E48" s="25"/>
      <c r="F48" s="25">
        <v>60000</v>
      </c>
    </row>
    <row r="49" spans="2:6" ht="15.75">
      <c r="B49" s="14">
        <v>42969</v>
      </c>
      <c r="C49" s="15">
        <v>1708046</v>
      </c>
      <c r="D49" s="16" t="s">
        <v>328</v>
      </c>
      <c r="E49" s="25"/>
      <c r="F49" s="25">
        <v>30100</v>
      </c>
    </row>
    <row r="50" spans="2:6" ht="15.75">
      <c r="B50" s="14">
        <v>42969</v>
      </c>
      <c r="C50" s="11">
        <v>1708047</v>
      </c>
      <c r="D50" s="16" t="s">
        <v>374</v>
      </c>
      <c r="E50" s="25">
        <f>100+24532+100+13570</f>
        <v>38302</v>
      </c>
      <c r="F50" s="25"/>
    </row>
    <row r="51" spans="2:6" ht="15.75">
      <c r="B51" s="14">
        <v>42970</v>
      </c>
      <c r="C51" s="15">
        <v>1708048</v>
      </c>
      <c r="D51" s="16" t="s">
        <v>375</v>
      </c>
      <c r="E51" s="25">
        <f>100+27082+100+7169</f>
        <v>34451</v>
      </c>
      <c r="F51" s="25"/>
    </row>
    <row r="52" spans="2:6" ht="15.75">
      <c r="B52" s="14">
        <v>42971</v>
      </c>
      <c r="C52" s="11">
        <v>1708049</v>
      </c>
      <c r="D52" s="12" t="s">
        <v>26</v>
      </c>
      <c r="E52" s="25"/>
      <c r="F52" s="25">
        <v>2500</v>
      </c>
    </row>
    <row r="53" spans="2:6" ht="15.75">
      <c r="B53" s="14">
        <v>42971</v>
      </c>
      <c r="C53" s="15">
        <v>1708050</v>
      </c>
      <c r="D53" s="12" t="s">
        <v>376</v>
      </c>
      <c r="E53" s="25">
        <f>100+80742+4720+100+7528+100+22211+5310</f>
        <v>120811</v>
      </c>
      <c r="F53" s="25"/>
    </row>
    <row r="54" spans="2:6" ht="15.75">
      <c r="B54" s="14">
        <v>42972</v>
      </c>
      <c r="C54" s="11">
        <v>1708051</v>
      </c>
      <c r="D54" s="12" t="s">
        <v>377</v>
      </c>
      <c r="E54" s="25"/>
      <c r="F54" s="25">
        <v>15000</v>
      </c>
    </row>
    <row r="55" spans="2:6" ht="15.75">
      <c r="B55" s="14">
        <v>42972</v>
      </c>
      <c r="C55" s="15">
        <v>1708052</v>
      </c>
      <c r="D55" s="12" t="s">
        <v>378</v>
      </c>
      <c r="E55" s="25">
        <f>100+45135+100+84311+4484</f>
        <v>134130</v>
      </c>
      <c r="F55" s="25"/>
    </row>
    <row r="56" spans="2:6" ht="15.75">
      <c r="B56" s="14">
        <v>42973</v>
      </c>
      <c r="C56" s="11">
        <v>1708053</v>
      </c>
      <c r="D56" s="16" t="s">
        <v>379</v>
      </c>
      <c r="E56" s="25"/>
      <c r="F56" s="25">
        <v>9500</v>
      </c>
    </row>
    <row r="57" spans="2:6" ht="15.75">
      <c r="B57" s="14">
        <v>42975</v>
      </c>
      <c r="C57" s="15">
        <v>1708054</v>
      </c>
      <c r="D57" s="12" t="s">
        <v>5</v>
      </c>
      <c r="E57" s="25"/>
      <c r="F57" s="25">
        <v>5000</v>
      </c>
    </row>
    <row r="58" spans="2:6" ht="15.75">
      <c r="B58" s="14">
        <v>42975</v>
      </c>
      <c r="C58" s="11">
        <v>1708055</v>
      </c>
      <c r="D58" s="12" t="s">
        <v>380</v>
      </c>
      <c r="E58" s="25">
        <f>100+8777+100+7222</f>
        <v>16199</v>
      </c>
      <c r="F58" s="25"/>
    </row>
    <row r="59" spans="2:6" ht="15.75">
      <c r="B59" s="14">
        <v>42976</v>
      </c>
      <c r="C59" s="15">
        <v>1708056</v>
      </c>
      <c r="D59" s="12" t="s">
        <v>5</v>
      </c>
      <c r="E59" s="25"/>
      <c r="F59" s="25">
        <v>10000</v>
      </c>
    </row>
    <row r="60" spans="2:6" ht="15.75">
      <c r="B60" s="14">
        <v>42976</v>
      </c>
      <c r="C60" s="11">
        <v>1708057</v>
      </c>
      <c r="D60" s="12" t="s">
        <v>381</v>
      </c>
      <c r="E60" s="25"/>
      <c r="F60" s="25">
        <v>80500</v>
      </c>
    </row>
    <row r="61" spans="2:6" ht="15.75">
      <c r="B61" s="14">
        <v>42976</v>
      </c>
      <c r="C61" s="15">
        <v>1708058</v>
      </c>
      <c r="D61" s="12" t="s">
        <v>382</v>
      </c>
      <c r="E61" s="25"/>
      <c r="F61" s="25">
        <v>70500</v>
      </c>
    </row>
    <row r="62" spans="2:6" ht="15.75">
      <c r="B62" s="14">
        <v>42977</v>
      </c>
      <c r="C62" s="11">
        <v>1708059</v>
      </c>
      <c r="D62" s="12" t="s">
        <v>120</v>
      </c>
      <c r="E62" s="25">
        <v>1000000</v>
      </c>
      <c r="F62" s="25"/>
    </row>
    <row r="63" spans="2:6" ht="15.75">
      <c r="B63" s="14">
        <v>42977</v>
      </c>
      <c r="C63" s="15">
        <v>1708060</v>
      </c>
      <c r="D63" s="12" t="s">
        <v>383</v>
      </c>
      <c r="E63" s="25">
        <f>1975+3493</f>
        <v>5468</v>
      </c>
      <c r="F63" s="25"/>
    </row>
    <row r="64" spans="2:6" ht="15.75">
      <c r="B64" s="14">
        <v>42978</v>
      </c>
      <c r="C64" s="11">
        <v>1708061</v>
      </c>
      <c r="D64" s="12" t="s">
        <v>384</v>
      </c>
      <c r="E64" s="25">
        <f>3957</f>
        <v>3957</v>
      </c>
      <c r="F64" s="25"/>
    </row>
    <row r="65" spans="2:6" ht="15.75">
      <c r="B65" s="14">
        <v>42978</v>
      </c>
      <c r="C65" s="15">
        <v>1708062</v>
      </c>
      <c r="D65" s="12" t="s">
        <v>385</v>
      </c>
      <c r="E65" s="25"/>
      <c r="F65" s="25">
        <v>39500</v>
      </c>
    </row>
    <row r="66" spans="2:6" ht="15.75">
      <c r="B66" s="14">
        <v>42978</v>
      </c>
      <c r="C66" s="11">
        <v>1708063</v>
      </c>
      <c r="D66" s="12" t="s">
        <v>23</v>
      </c>
      <c r="E66" s="25"/>
      <c r="F66" s="25">
        <v>15000</v>
      </c>
    </row>
    <row r="67" spans="2:6" ht="15.75">
      <c r="B67" s="18"/>
      <c r="C67" s="19"/>
      <c r="D67" s="20"/>
      <c r="E67" s="25">
        <f>SUM(E3:E66)</f>
        <v>6199726</v>
      </c>
      <c r="F67" s="25">
        <f>SUM(F3:F66)</f>
        <v>2650462</v>
      </c>
    </row>
    <row r="68" spans="2:6">
      <c r="B68" s="5"/>
      <c r="C68" s="27"/>
    </row>
    <row r="69" spans="2:6">
      <c r="B69" s="5"/>
      <c r="C69" s="27"/>
      <c r="E69" s="21" t="s">
        <v>6</v>
      </c>
      <c r="F69" s="17">
        <f>E67-F67</f>
        <v>3549264</v>
      </c>
    </row>
  </sheetData>
  <printOptions horizontalCentered="1" verticalCentered="1"/>
  <pageMargins left="0" right="0" top="0" bottom="0" header="0" footer="0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F86"/>
  <sheetViews>
    <sheetView topLeftCell="A73" workbookViewId="0">
      <selection activeCell="F86" sqref="B2:F86"/>
    </sheetView>
  </sheetViews>
  <sheetFormatPr baseColWidth="10" defaultRowHeight="15"/>
  <cols>
    <col min="2" max="2" width="9.5703125" customWidth="1"/>
    <col min="3" max="3" width="10.5703125" customWidth="1"/>
    <col min="4" max="4" width="49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42979</v>
      </c>
      <c r="C3" s="22"/>
      <c r="D3" s="8" t="s">
        <v>386</v>
      </c>
      <c r="E3" s="24">
        <f>'AOÛT 2017'!F69</f>
        <v>3549264</v>
      </c>
      <c r="F3" s="24"/>
    </row>
    <row r="4" spans="2:6" ht="15.75">
      <c r="B4" s="10">
        <v>42982</v>
      </c>
      <c r="C4" s="11">
        <v>1709001</v>
      </c>
      <c r="D4" s="12" t="s">
        <v>387</v>
      </c>
      <c r="E4" s="25"/>
      <c r="F4" s="25">
        <v>4000</v>
      </c>
    </row>
    <row r="5" spans="2:6" ht="15.75">
      <c r="B5" s="14">
        <v>42982</v>
      </c>
      <c r="C5" s="15">
        <v>1709002</v>
      </c>
      <c r="D5" s="12" t="s">
        <v>388</v>
      </c>
      <c r="E5" s="26"/>
      <c r="F5" s="26">
        <v>138750</v>
      </c>
    </row>
    <row r="6" spans="2:6" ht="15.75">
      <c r="B6" s="14">
        <v>42982</v>
      </c>
      <c r="C6" s="11">
        <v>1709003</v>
      </c>
      <c r="D6" s="12" t="s">
        <v>389</v>
      </c>
      <c r="E6" s="26">
        <f>3540+100+9440</f>
        <v>13080</v>
      </c>
      <c r="F6" s="26"/>
    </row>
    <row r="7" spans="2:6" ht="15.75">
      <c r="B7" s="14">
        <v>42983</v>
      </c>
      <c r="C7" s="15">
        <v>1709004</v>
      </c>
      <c r="D7" s="16" t="s">
        <v>45</v>
      </c>
      <c r="E7" s="26"/>
      <c r="F7" s="26">
        <v>2500</v>
      </c>
    </row>
    <row r="8" spans="2:6" ht="15.75">
      <c r="B8" s="14">
        <v>42983</v>
      </c>
      <c r="C8" s="11">
        <v>1709005</v>
      </c>
      <c r="D8" s="12" t="s">
        <v>390</v>
      </c>
      <c r="E8" s="26">
        <f>100+28320</f>
        <v>28420</v>
      </c>
      <c r="F8" s="26"/>
    </row>
    <row r="9" spans="2:6" ht="15.75">
      <c r="B9" s="14">
        <v>42984</v>
      </c>
      <c r="C9" s="15">
        <v>1709006</v>
      </c>
      <c r="D9" s="12" t="s">
        <v>21</v>
      </c>
      <c r="E9" s="26"/>
      <c r="F9" s="26">
        <v>21665</v>
      </c>
    </row>
    <row r="10" spans="2:6" ht="15.75">
      <c r="B10" s="14">
        <v>42984</v>
      </c>
      <c r="C10" s="11">
        <v>1709007</v>
      </c>
      <c r="D10" s="12" t="s">
        <v>391</v>
      </c>
      <c r="E10" s="26"/>
      <c r="F10" s="26">
        <v>15000</v>
      </c>
    </row>
    <row r="11" spans="2:6" ht="15.75">
      <c r="B11" s="14">
        <v>42984</v>
      </c>
      <c r="C11" s="15">
        <v>1709008</v>
      </c>
      <c r="D11" s="16" t="s">
        <v>19</v>
      </c>
      <c r="E11" s="26"/>
      <c r="F11" s="26">
        <v>50000</v>
      </c>
    </row>
    <row r="12" spans="2:6" ht="15.75">
      <c r="B12" s="14">
        <v>42984</v>
      </c>
      <c r="C12" s="11">
        <v>1709009</v>
      </c>
      <c r="D12" s="12" t="s">
        <v>392</v>
      </c>
      <c r="E12" s="26">
        <f>100+50976</f>
        <v>51076</v>
      </c>
      <c r="F12" s="26"/>
    </row>
    <row r="13" spans="2:6" ht="15.75">
      <c r="B13" s="14">
        <v>42984</v>
      </c>
      <c r="C13" s="15">
        <v>1709010</v>
      </c>
      <c r="D13" s="12" t="s">
        <v>393</v>
      </c>
      <c r="E13" s="26">
        <v>290000</v>
      </c>
      <c r="F13" s="26"/>
    </row>
    <row r="14" spans="2:6" ht="15.75">
      <c r="B14" s="14">
        <v>42985</v>
      </c>
      <c r="C14" s="11">
        <v>1709011</v>
      </c>
      <c r="D14" s="12" t="s">
        <v>8</v>
      </c>
      <c r="E14" s="26"/>
      <c r="F14" s="26">
        <f>16190+100</f>
        <v>16290</v>
      </c>
    </row>
    <row r="15" spans="2:6" ht="15.75">
      <c r="B15" s="14">
        <v>42985</v>
      </c>
      <c r="C15" s="15">
        <v>1709012</v>
      </c>
      <c r="D15" s="16" t="s">
        <v>394</v>
      </c>
      <c r="E15" s="26"/>
      <c r="F15" s="26">
        <v>16000</v>
      </c>
    </row>
    <row r="16" spans="2:6" ht="15.75">
      <c r="B16" s="14">
        <v>42985</v>
      </c>
      <c r="C16" s="11">
        <v>1709013</v>
      </c>
      <c r="D16" s="16" t="s">
        <v>9</v>
      </c>
      <c r="E16" s="26"/>
      <c r="F16" s="26">
        <v>18200</v>
      </c>
    </row>
    <row r="17" spans="2:6" ht="15.75">
      <c r="B17" s="14">
        <v>42986</v>
      </c>
      <c r="C17" s="15">
        <v>1709014</v>
      </c>
      <c r="D17" s="12" t="s">
        <v>395</v>
      </c>
      <c r="E17" s="26"/>
      <c r="F17" s="26">
        <v>150000</v>
      </c>
    </row>
    <row r="18" spans="2:6" ht="15.75">
      <c r="B18" s="14">
        <v>42986</v>
      </c>
      <c r="C18" s="11">
        <v>1709015</v>
      </c>
      <c r="D18" s="12" t="s">
        <v>396</v>
      </c>
      <c r="E18" s="26">
        <f>100+9133+100+6372+100+42480+1298+100+58145+100+37989+100+10443</f>
        <v>166460</v>
      </c>
      <c r="F18" s="26"/>
    </row>
    <row r="19" spans="2:6" ht="15.75">
      <c r="B19" s="14">
        <v>42987</v>
      </c>
      <c r="C19" s="15">
        <v>1709016</v>
      </c>
      <c r="D19" s="16" t="s">
        <v>397</v>
      </c>
      <c r="E19" s="26"/>
      <c r="F19" s="26">
        <v>18000</v>
      </c>
    </row>
    <row r="20" spans="2:6" ht="15.75">
      <c r="B20" s="14">
        <v>42989</v>
      </c>
      <c r="C20" s="11">
        <v>1709017</v>
      </c>
      <c r="D20" s="12" t="s">
        <v>9</v>
      </c>
      <c r="E20" s="26"/>
      <c r="F20" s="26">
        <v>6462</v>
      </c>
    </row>
    <row r="21" spans="2:6" s="32" customFormat="1" ht="15.75">
      <c r="B21" s="6">
        <v>42989</v>
      </c>
      <c r="C21" s="34">
        <v>1709018</v>
      </c>
      <c r="D21" s="37" t="s">
        <v>551</v>
      </c>
      <c r="E21" s="24"/>
      <c r="F21" s="24">
        <v>300000</v>
      </c>
    </row>
    <row r="22" spans="2:6" ht="15.75">
      <c r="B22" s="14">
        <v>42989</v>
      </c>
      <c r="C22" s="11">
        <v>1709019</v>
      </c>
      <c r="D22" s="12" t="s">
        <v>398</v>
      </c>
      <c r="E22" s="26"/>
      <c r="F22" s="26">
        <v>25000</v>
      </c>
    </row>
    <row r="23" spans="2:6" ht="15.75">
      <c r="B23" s="14">
        <v>42989</v>
      </c>
      <c r="C23" s="15">
        <v>1709020</v>
      </c>
      <c r="D23" s="12" t="s">
        <v>399</v>
      </c>
      <c r="E23" s="26"/>
      <c r="F23" s="26">
        <v>20000</v>
      </c>
    </row>
    <row r="24" spans="2:6" ht="15.75">
      <c r="B24" s="14">
        <v>42989</v>
      </c>
      <c r="C24" s="11">
        <v>1709021</v>
      </c>
      <c r="D24" s="12" t="s">
        <v>400</v>
      </c>
      <c r="E24" s="26"/>
      <c r="F24" s="26">
        <v>60000</v>
      </c>
    </row>
    <row r="25" spans="2:6" ht="15.75">
      <c r="B25" s="14">
        <v>42989</v>
      </c>
      <c r="C25" s="15">
        <v>1709022</v>
      </c>
      <c r="D25" s="12" t="s">
        <v>401</v>
      </c>
      <c r="E25" s="26">
        <f>100+14160+100+9638+100+65844</f>
        <v>89942</v>
      </c>
      <c r="F25" s="26"/>
    </row>
    <row r="26" spans="2:6" ht="15.75">
      <c r="B26" s="14">
        <v>42989</v>
      </c>
      <c r="C26" s="11">
        <v>1709023</v>
      </c>
      <c r="D26" s="12" t="s">
        <v>393</v>
      </c>
      <c r="E26" s="26">
        <v>39262</v>
      </c>
      <c r="F26" s="26"/>
    </row>
    <row r="27" spans="2:6" ht="15.75">
      <c r="B27" s="14">
        <v>42990</v>
      </c>
      <c r="C27" s="15">
        <v>1709024</v>
      </c>
      <c r="D27" s="12" t="s">
        <v>9</v>
      </c>
      <c r="E27" s="26"/>
      <c r="F27" s="26">
        <v>45200</v>
      </c>
    </row>
    <row r="28" spans="2:6" ht="15.75">
      <c r="B28" s="14">
        <v>42990</v>
      </c>
      <c r="C28" s="11">
        <v>1709025</v>
      </c>
      <c r="D28" s="12" t="s">
        <v>315</v>
      </c>
      <c r="E28" s="26"/>
      <c r="F28" s="26">
        <v>48655</v>
      </c>
    </row>
    <row r="29" spans="2:6" ht="15.75">
      <c r="B29" s="14">
        <v>42990</v>
      </c>
      <c r="C29" s="15">
        <v>1709026</v>
      </c>
      <c r="D29" s="12" t="s">
        <v>18</v>
      </c>
      <c r="E29" s="26"/>
      <c r="F29" s="26">
        <v>10500</v>
      </c>
    </row>
    <row r="30" spans="2:6" ht="15.75">
      <c r="B30" s="14">
        <v>42990</v>
      </c>
      <c r="C30" s="11">
        <v>1709027</v>
      </c>
      <c r="D30" s="12" t="s">
        <v>403</v>
      </c>
      <c r="E30" s="26">
        <f>500+231488+100+47200+100+62304</f>
        <v>341692</v>
      </c>
      <c r="F30" s="26"/>
    </row>
    <row r="31" spans="2:6" ht="15.75">
      <c r="B31" s="14">
        <v>42991</v>
      </c>
      <c r="C31" s="15">
        <v>1709028</v>
      </c>
      <c r="D31" s="16" t="s">
        <v>19</v>
      </c>
      <c r="E31" s="26"/>
      <c r="F31" s="26">
        <v>80000</v>
      </c>
    </row>
    <row r="32" spans="2:6" ht="15.75">
      <c r="B32" s="14">
        <v>42991</v>
      </c>
      <c r="C32" s="11">
        <v>1709029</v>
      </c>
      <c r="D32" s="12" t="s">
        <v>404</v>
      </c>
      <c r="E32" s="26">
        <f>2360+100+7228+100+43896</f>
        <v>53684</v>
      </c>
      <c r="F32" s="26"/>
    </row>
    <row r="33" spans="2:6" ht="15.75">
      <c r="B33" s="14">
        <v>42992</v>
      </c>
      <c r="C33" s="15">
        <v>1709030</v>
      </c>
      <c r="D33" s="12" t="s">
        <v>283</v>
      </c>
      <c r="E33" s="26"/>
      <c r="F33" s="26">
        <v>30100</v>
      </c>
    </row>
    <row r="34" spans="2:6" ht="15.75">
      <c r="B34" s="14">
        <v>42992</v>
      </c>
      <c r="C34" s="11">
        <v>1709031</v>
      </c>
      <c r="D34" s="16" t="s">
        <v>405</v>
      </c>
      <c r="E34" s="26">
        <f>100+8260</f>
        <v>8360</v>
      </c>
      <c r="F34" s="26"/>
    </row>
    <row r="35" spans="2:6" ht="15.75">
      <c r="B35" s="14">
        <v>42993</v>
      </c>
      <c r="C35" s="15">
        <v>1709032</v>
      </c>
      <c r="D35" s="12" t="s">
        <v>402</v>
      </c>
      <c r="E35" s="26"/>
      <c r="F35" s="29">
        <v>200000</v>
      </c>
    </row>
    <row r="36" spans="2:6" ht="15.75">
      <c r="B36" s="14">
        <v>42993</v>
      </c>
      <c r="C36" s="11">
        <v>1709033</v>
      </c>
      <c r="D36" s="12" t="s">
        <v>406</v>
      </c>
      <c r="E36" s="26"/>
      <c r="F36" s="26">
        <v>21000</v>
      </c>
    </row>
    <row r="37" spans="2:6" ht="15.75">
      <c r="B37" s="14">
        <v>42993</v>
      </c>
      <c r="C37" s="15">
        <v>1709034</v>
      </c>
      <c r="D37" s="12" t="s">
        <v>407</v>
      </c>
      <c r="E37" s="26">
        <f>100+9988+100+12272+4248+100+19470</f>
        <v>46278</v>
      </c>
      <c r="F37" s="26"/>
    </row>
    <row r="38" spans="2:6" ht="15.75">
      <c r="B38" s="14">
        <v>42993</v>
      </c>
      <c r="C38" s="11">
        <v>1709035</v>
      </c>
      <c r="D38" s="16" t="s">
        <v>408</v>
      </c>
      <c r="E38" s="26"/>
      <c r="F38" s="26">
        <v>3000</v>
      </c>
    </row>
    <row r="39" spans="2:6" ht="15.75">
      <c r="B39" s="14">
        <v>42994</v>
      </c>
      <c r="C39" s="15">
        <v>1709036</v>
      </c>
      <c r="D39" s="12" t="s">
        <v>18</v>
      </c>
      <c r="E39" s="26"/>
      <c r="F39" s="26">
        <v>9150</v>
      </c>
    </row>
    <row r="40" spans="2:6" ht="15.75">
      <c r="B40" s="14">
        <v>42994</v>
      </c>
      <c r="C40" s="11">
        <v>1709037</v>
      </c>
      <c r="D40" s="12" t="s">
        <v>409</v>
      </c>
      <c r="E40" s="26">
        <f>100+16520+100+54900</f>
        <v>71620</v>
      </c>
      <c r="F40" s="26"/>
    </row>
    <row r="41" spans="2:6" ht="15.75">
      <c r="B41" s="14">
        <v>42994</v>
      </c>
      <c r="C41" s="15">
        <v>1709038</v>
      </c>
      <c r="D41" s="16" t="s">
        <v>410</v>
      </c>
      <c r="E41" s="26"/>
      <c r="F41" s="26">
        <v>26000</v>
      </c>
    </row>
    <row r="42" spans="2:6" ht="15.75">
      <c r="B42" s="14">
        <v>42996</v>
      </c>
      <c r="C42" s="11">
        <v>1709039</v>
      </c>
      <c r="D42" s="16" t="s">
        <v>9</v>
      </c>
      <c r="E42" s="26"/>
      <c r="F42" s="25">
        <v>16100</v>
      </c>
    </row>
    <row r="43" spans="2:6" ht="15.75">
      <c r="B43" s="14">
        <v>42996</v>
      </c>
      <c r="C43" s="15">
        <v>1709040</v>
      </c>
      <c r="D43" s="12" t="s">
        <v>40</v>
      </c>
      <c r="E43" s="26"/>
      <c r="F43" s="25">
        <v>29500</v>
      </c>
    </row>
    <row r="44" spans="2:6" ht="15.75">
      <c r="B44" s="14">
        <v>42996</v>
      </c>
      <c r="C44" s="11">
        <v>1709041</v>
      </c>
      <c r="D44" s="16" t="s">
        <v>411</v>
      </c>
      <c r="E44" s="26">
        <f>100+41914</f>
        <v>42014</v>
      </c>
      <c r="F44" s="25"/>
    </row>
    <row r="45" spans="2:6" ht="15.75">
      <c r="B45" s="14">
        <v>42997</v>
      </c>
      <c r="C45" s="15">
        <v>1709042</v>
      </c>
      <c r="D45" s="16" t="s">
        <v>41</v>
      </c>
      <c r="E45" s="25"/>
      <c r="F45" s="25">
        <v>2000</v>
      </c>
    </row>
    <row r="46" spans="2:6" ht="15.75">
      <c r="B46" s="14">
        <v>42997</v>
      </c>
      <c r="C46" s="11">
        <v>1709043</v>
      </c>
      <c r="D46" s="16" t="s">
        <v>412</v>
      </c>
      <c r="E46" s="25">
        <f>100+28273+5600+100+32337</f>
        <v>66410</v>
      </c>
      <c r="F46" s="25"/>
    </row>
    <row r="47" spans="2:6" ht="15.75">
      <c r="B47" s="14">
        <v>42998</v>
      </c>
      <c r="C47" s="15">
        <v>1709044</v>
      </c>
      <c r="D47" s="16" t="s">
        <v>9</v>
      </c>
      <c r="E47" s="25"/>
      <c r="F47" s="25">
        <v>116183</v>
      </c>
    </row>
    <row r="48" spans="2:6" ht="15.75">
      <c r="B48" s="14">
        <v>42998</v>
      </c>
      <c r="C48" s="11">
        <v>1709045</v>
      </c>
      <c r="D48" s="16" t="s">
        <v>343</v>
      </c>
      <c r="E48" s="25"/>
      <c r="F48" s="25">
        <v>315000</v>
      </c>
    </row>
    <row r="49" spans="2:6" ht="15.75">
      <c r="B49" s="14">
        <v>42998</v>
      </c>
      <c r="C49" s="15">
        <v>1709046</v>
      </c>
      <c r="D49" s="16" t="s">
        <v>413</v>
      </c>
      <c r="E49" s="25"/>
      <c r="F49" s="25">
        <v>20000</v>
      </c>
    </row>
    <row r="50" spans="2:6" ht="15.75">
      <c r="B50" s="14">
        <v>42998</v>
      </c>
      <c r="C50" s="11">
        <v>1709047</v>
      </c>
      <c r="D50" s="16" t="s">
        <v>414</v>
      </c>
      <c r="E50" s="25">
        <f>45637+100+100+23069+100+56640+1062+4779+100+79343</f>
        <v>210930</v>
      </c>
      <c r="F50" s="25"/>
    </row>
    <row r="51" spans="2:6" ht="15.75">
      <c r="B51" s="14">
        <v>42999</v>
      </c>
      <c r="C51" s="15">
        <v>1709048</v>
      </c>
      <c r="D51" s="12" t="s">
        <v>415</v>
      </c>
      <c r="E51" s="25"/>
      <c r="F51" s="25">
        <v>400000</v>
      </c>
    </row>
    <row r="52" spans="2:6" ht="15.75">
      <c r="B52" s="14">
        <v>42999</v>
      </c>
      <c r="C52" s="11">
        <v>1709049</v>
      </c>
      <c r="D52" s="12" t="s">
        <v>120</v>
      </c>
      <c r="E52" s="25">
        <v>500000</v>
      </c>
      <c r="F52" s="25"/>
    </row>
    <row r="53" spans="2:6" ht="15.75">
      <c r="B53" s="14">
        <v>42999</v>
      </c>
      <c r="C53" s="15">
        <v>1709050</v>
      </c>
      <c r="D53" s="16" t="s">
        <v>416</v>
      </c>
      <c r="E53" s="25">
        <f>100+13039</f>
        <v>13139</v>
      </c>
      <c r="F53" s="25"/>
    </row>
    <row r="54" spans="2:6" ht="15.75">
      <c r="B54" s="14">
        <v>43000</v>
      </c>
      <c r="C54" s="11">
        <v>1709051</v>
      </c>
      <c r="D54" s="12" t="s">
        <v>14</v>
      </c>
      <c r="E54" s="25"/>
      <c r="F54" s="25">
        <v>25000</v>
      </c>
    </row>
    <row r="55" spans="2:6" ht="15.75">
      <c r="B55" s="14">
        <v>43000</v>
      </c>
      <c r="C55" s="15">
        <v>1709052</v>
      </c>
      <c r="D55" s="12" t="s">
        <v>417</v>
      </c>
      <c r="E55" s="25">
        <f>3762+3870+100+11033+100+14018</f>
        <v>32883</v>
      </c>
      <c r="F55" s="25"/>
    </row>
    <row r="56" spans="2:6" ht="15.75">
      <c r="B56" s="14">
        <v>43001</v>
      </c>
      <c r="C56" s="11">
        <v>1709053</v>
      </c>
      <c r="D56" s="12" t="s">
        <v>9</v>
      </c>
      <c r="E56" s="25"/>
      <c r="F56" s="25">
        <v>13500</v>
      </c>
    </row>
    <row r="57" spans="2:6" ht="15.75">
      <c r="B57" s="14">
        <v>43001</v>
      </c>
      <c r="C57" s="15">
        <v>1709054</v>
      </c>
      <c r="D57" s="12" t="s">
        <v>18</v>
      </c>
      <c r="E57" s="25"/>
      <c r="F57" s="25">
        <v>9500</v>
      </c>
    </row>
    <row r="58" spans="2:6" ht="15.75">
      <c r="B58" s="14">
        <v>43001</v>
      </c>
      <c r="C58" s="11">
        <v>1709055</v>
      </c>
      <c r="D58" s="12" t="s">
        <v>418</v>
      </c>
      <c r="E58" s="25">
        <f>100+20762+100+10022</f>
        <v>30984</v>
      </c>
      <c r="F58" s="25"/>
    </row>
    <row r="59" spans="2:6" ht="15.75">
      <c r="B59" s="14">
        <v>43001</v>
      </c>
      <c r="C59" s="15">
        <v>1709056</v>
      </c>
      <c r="D59" s="12" t="s">
        <v>419</v>
      </c>
      <c r="E59" s="25"/>
      <c r="F59" s="25">
        <v>2500</v>
      </c>
    </row>
    <row r="60" spans="2:6" ht="15.75">
      <c r="B60" s="14">
        <v>43001</v>
      </c>
      <c r="C60" s="11">
        <v>1709057</v>
      </c>
      <c r="D60" s="12" t="s">
        <v>420</v>
      </c>
      <c r="E60" s="25"/>
      <c r="F60" s="25">
        <v>93500</v>
      </c>
    </row>
    <row r="61" spans="2:6" ht="15.75">
      <c r="B61" s="14">
        <v>43001</v>
      </c>
      <c r="C61" s="15">
        <v>1709058</v>
      </c>
      <c r="D61" s="12" t="s">
        <v>406</v>
      </c>
      <c r="E61" s="25"/>
      <c r="F61" s="25">
        <v>10000</v>
      </c>
    </row>
    <row r="62" spans="2:6" ht="15.75">
      <c r="B62" s="14">
        <v>43001</v>
      </c>
      <c r="C62" s="11">
        <v>1709059</v>
      </c>
      <c r="D62" s="16" t="s">
        <v>421</v>
      </c>
      <c r="E62" s="25"/>
      <c r="F62" s="25">
        <v>14000</v>
      </c>
    </row>
    <row r="63" spans="2:6" ht="15.75">
      <c r="B63" s="14">
        <v>43003</v>
      </c>
      <c r="C63" s="15">
        <v>1709060</v>
      </c>
      <c r="D63" s="16" t="s">
        <v>45</v>
      </c>
      <c r="E63" s="25"/>
      <c r="F63" s="25">
        <v>2500</v>
      </c>
    </row>
    <row r="64" spans="2:6" ht="15.75">
      <c r="B64" s="14">
        <v>43003</v>
      </c>
      <c r="C64" s="11">
        <v>1709061</v>
      </c>
      <c r="D64" s="12" t="s">
        <v>22</v>
      </c>
      <c r="E64" s="25"/>
      <c r="F64" s="25">
        <v>30000</v>
      </c>
    </row>
    <row r="65" spans="2:6" ht="15.75">
      <c r="B65" s="14">
        <v>43003</v>
      </c>
      <c r="C65" s="15">
        <v>1709062</v>
      </c>
      <c r="D65" s="12" t="s">
        <v>422</v>
      </c>
      <c r="E65" s="25">
        <f>100+15930+100+21314+1133</f>
        <v>38577</v>
      </c>
      <c r="F65" s="25"/>
    </row>
    <row r="66" spans="2:6" ht="15.75">
      <c r="B66" s="14">
        <v>43004</v>
      </c>
      <c r="C66" s="11">
        <v>1709063</v>
      </c>
      <c r="D66" s="12" t="s">
        <v>423</v>
      </c>
      <c r="E66" s="25"/>
      <c r="F66" s="25">
        <v>60000</v>
      </c>
    </row>
    <row r="67" spans="2:6" ht="15.75">
      <c r="B67" s="14">
        <v>43004</v>
      </c>
      <c r="C67" s="15">
        <v>1709064</v>
      </c>
      <c r="D67" s="12" t="s">
        <v>263</v>
      </c>
      <c r="E67" s="25"/>
      <c r="F67" s="25">
        <v>11000</v>
      </c>
    </row>
    <row r="68" spans="2:6" ht="15.75">
      <c r="B68" s="14">
        <v>43004</v>
      </c>
      <c r="C68" s="11">
        <v>1709065</v>
      </c>
      <c r="D68" s="12" t="s">
        <v>9</v>
      </c>
      <c r="E68" s="25"/>
      <c r="F68" s="25">
        <v>13500</v>
      </c>
    </row>
    <row r="69" spans="2:6" ht="15.75">
      <c r="B69" s="14">
        <v>43004</v>
      </c>
      <c r="C69" s="15">
        <v>1709066</v>
      </c>
      <c r="D69" s="12" t="s">
        <v>424</v>
      </c>
      <c r="E69" s="25">
        <f>4949+100+15045+100+15859+100+58056</f>
        <v>94209</v>
      </c>
      <c r="F69" s="25"/>
    </row>
    <row r="70" spans="2:6" ht="15.75">
      <c r="B70" s="14">
        <v>43004</v>
      </c>
      <c r="C70" s="11">
        <v>1709067</v>
      </c>
      <c r="D70" s="12" t="s">
        <v>399</v>
      </c>
      <c r="E70" s="25"/>
      <c r="F70" s="25">
        <v>10000</v>
      </c>
    </row>
    <row r="71" spans="2:6" ht="15.75">
      <c r="B71" s="14">
        <v>43005</v>
      </c>
      <c r="C71" s="15">
        <v>1709068</v>
      </c>
      <c r="D71" s="28" t="s">
        <v>38</v>
      </c>
      <c r="E71" s="25"/>
      <c r="F71" s="25">
        <v>2500</v>
      </c>
    </row>
    <row r="72" spans="2:6" ht="15.75">
      <c r="B72" s="14">
        <v>43005</v>
      </c>
      <c r="C72" s="11">
        <v>1709069</v>
      </c>
      <c r="D72" s="12" t="s">
        <v>27</v>
      </c>
      <c r="E72" s="25"/>
      <c r="F72" s="25">
        <v>17500</v>
      </c>
    </row>
    <row r="73" spans="2:6" ht="15.75">
      <c r="B73" s="14">
        <v>43005</v>
      </c>
      <c r="C73" s="15">
        <v>1709070</v>
      </c>
      <c r="D73" s="12" t="s">
        <v>425</v>
      </c>
      <c r="E73" s="25">
        <f>100+8793+5384+3612+100+40873+100+8576</f>
        <v>67538</v>
      </c>
      <c r="F73" s="25"/>
    </row>
    <row r="74" spans="2:6" ht="15.75">
      <c r="B74" s="14">
        <v>43006</v>
      </c>
      <c r="C74" s="11">
        <v>1709071</v>
      </c>
      <c r="D74" s="12" t="s">
        <v>426</v>
      </c>
      <c r="E74" s="25"/>
      <c r="F74" s="25">
        <v>24500</v>
      </c>
    </row>
    <row r="75" spans="2:6" ht="15.75">
      <c r="B75" s="14">
        <v>43006</v>
      </c>
      <c r="C75" s="15">
        <v>1709072</v>
      </c>
      <c r="D75" s="12" t="s">
        <v>9</v>
      </c>
      <c r="E75" s="25"/>
      <c r="F75" s="25">
        <v>3750</v>
      </c>
    </row>
    <row r="76" spans="2:6" ht="15.75">
      <c r="B76" s="14">
        <v>43006</v>
      </c>
      <c r="C76" s="11">
        <v>1709073</v>
      </c>
      <c r="D76" s="12" t="s">
        <v>427</v>
      </c>
      <c r="E76" s="25">
        <f>100+8726+100+10153+4814+100+92512+100+35636</f>
        <v>152241</v>
      </c>
      <c r="F76" s="25"/>
    </row>
    <row r="77" spans="2:6" ht="15.75">
      <c r="B77" s="14">
        <v>43007</v>
      </c>
      <c r="C77" s="15">
        <v>1709074</v>
      </c>
      <c r="D77" s="12" t="s">
        <v>428</v>
      </c>
      <c r="E77" s="25"/>
      <c r="F77" s="25">
        <v>25000</v>
      </c>
    </row>
    <row r="78" spans="2:6" ht="15.75">
      <c r="B78" s="14">
        <v>43007</v>
      </c>
      <c r="C78" s="11">
        <v>1709075</v>
      </c>
      <c r="D78" s="12" t="s">
        <v>429</v>
      </c>
      <c r="E78" s="25">
        <f>100+16662</f>
        <v>16762</v>
      </c>
      <c r="F78" s="25"/>
    </row>
    <row r="79" spans="2:6" ht="15.75">
      <c r="B79" s="14">
        <v>43008</v>
      </c>
      <c r="C79" s="15">
        <v>1709076</v>
      </c>
      <c r="D79" s="12" t="s">
        <v>430</v>
      </c>
      <c r="E79" s="25"/>
      <c r="F79" s="25">
        <v>75000</v>
      </c>
    </row>
    <row r="80" spans="2:6" ht="15.75">
      <c r="B80" s="14">
        <v>43008</v>
      </c>
      <c r="C80" s="11">
        <v>1709077</v>
      </c>
      <c r="D80" s="12" t="s">
        <v>431</v>
      </c>
      <c r="E80" s="25"/>
      <c r="F80" s="25">
        <v>55500</v>
      </c>
    </row>
    <row r="81" spans="2:6" ht="15.75">
      <c r="B81" s="14">
        <v>43008</v>
      </c>
      <c r="C81" s="15">
        <v>1709078</v>
      </c>
      <c r="D81" s="12" t="s">
        <v>432</v>
      </c>
      <c r="E81" s="25"/>
      <c r="F81" s="25">
        <v>120000</v>
      </c>
    </row>
    <row r="82" spans="2:6" ht="15.75">
      <c r="B82" s="14">
        <v>43008</v>
      </c>
      <c r="C82" s="11">
        <v>1709079</v>
      </c>
      <c r="D82" s="12" t="s">
        <v>18</v>
      </c>
      <c r="E82" s="25"/>
      <c r="F82" s="25">
        <v>19300</v>
      </c>
    </row>
    <row r="83" spans="2:6" ht="15.75">
      <c r="B83" s="14">
        <v>43008</v>
      </c>
      <c r="C83" s="15">
        <v>1709080</v>
      </c>
      <c r="D83" s="16" t="s">
        <v>433</v>
      </c>
      <c r="E83" s="25"/>
      <c r="F83" s="25">
        <v>13000</v>
      </c>
    </row>
    <row r="84" spans="2:6" ht="15.75">
      <c r="B84" s="18"/>
      <c r="C84" s="19"/>
      <c r="D84" s="20"/>
      <c r="E84" s="25">
        <f>SUM(E3:E83)</f>
        <v>6014825</v>
      </c>
      <c r="F84" s="25">
        <f>SUM(F3:F83)</f>
        <v>2885305</v>
      </c>
    </row>
    <row r="85" spans="2:6">
      <c r="B85" s="5"/>
      <c r="C85" s="27"/>
    </row>
    <row r="86" spans="2:6">
      <c r="B86" s="5"/>
      <c r="C86" s="27"/>
      <c r="E86" s="21" t="s">
        <v>6</v>
      </c>
      <c r="F86" s="17">
        <f>E84-F84</f>
        <v>3129520</v>
      </c>
    </row>
  </sheetData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 2017</vt:lpstr>
      <vt:lpstr>FEVRIER 2017</vt:lpstr>
      <vt:lpstr>MARS 2017</vt:lpstr>
      <vt:lpstr>AVRIL 2017</vt:lpstr>
      <vt:lpstr>MAI 2017</vt:lpstr>
      <vt:lpstr>JUIN 2017</vt:lpstr>
      <vt:lpstr>JUILLET 2017</vt:lpstr>
      <vt:lpstr>AOÛT 2017</vt:lpstr>
      <vt:lpstr>SEPTEMBRE 2017</vt:lpstr>
      <vt:lpstr>OCTOBRE 2017</vt:lpstr>
      <vt:lpstr>NOVEMBRE 2017</vt:lpstr>
      <vt:lpstr>DECEMBRE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SOSB03</dc:creator>
  <cp:lastModifiedBy>SOSB04</cp:lastModifiedBy>
  <cp:lastPrinted>2018-05-18T09:12:26Z</cp:lastPrinted>
  <dcterms:created xsi:type="dcterms:W3CDTF">2016-01-05T07:27:56Z</dcterms:created>
  <dcterms:modified xsi:type="dcterms:W3CDTF">2018-05-18T09:12:45Z</dcterms:modified>
</cp:coreProperties>
</file>