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560" activeTab="6"/>
  </bookViews>
  <sheets>
    <sheet name="JANVIER 2019" sheetId="1" r:id="rId1"/>
    <sheet name="FEVRIER 2019" sheetId="2" r:id="rId2"/>
    <sheet name="MARS 2019" sheetId="3" r:id="rId3"/>
    <sheet name="AVRIL 2019" sheetId="4" r:id="rId4"/>
    <sheet name="MAI 2019" sheetId="5" r:id="rId5"/>
    <sheet name="JUIN 2019" sheetId="6" r:id="rId6"/>
    <sheet name="JUILLET 2019" sheetId="7" r:id="rId7"/>
    <sheet name="AOÛT 2018" sheetId="8" r:id="rId8"/>
    <sheet name="SEPTEMBRE 2018" sheetId="9" r:id="rId9"/>
    <sheet name="OCTOBRE 2018" sheetId="10" r:id="rId10"/>
    <sheet name="NOVEMBRE 2018" sheetId="11" r:id="rId11"/>
    <sheet name="DECEMBRE 2018" sheetId="12" r:id="rId12"/>
  </sheets>
  <calcPr calcId="125725"/>
</workbook>
</file>

<file path=xl/calcChain.xml><?xml version="1.0" encoding="utf-8"?>
<calcChain xmlns="http://schemas.openxmlformats.org/spreadsheetml/2006/main">
  <c r="I76" i="7"/>
  <c r="H76"/>
  <c r="E3"/>
  <c r="E59"/>
  <c r="E55"/>
  <c r="E54"/>
  <c r="E52"/>
  <c r="E46"/>
  <c r="E43"/>
  <c r="E40"/>
  <c r="E39"/>
  <c r="E35"/>
  <c r="E31"/>
  <c r="E30"/>
  <c r="E25"/>
  <c r="E22"/>
  <c r="E18"/>
  <c r="E15"/>
  <c r="E14"/>
  <c r="E12"/>
  <c r="E9"/>
  <c r="E5"/>
  <c r="E57" i="6"/>
  <c r="E54"/>
  <c r="E53"/>
  <c r="E50"/>
  <c r="E47"/>
  <c r="E44"/>
  <c r="E40"/>
  <c r="E37"/>
  <c r="E33"/>
  <c r="E30"/>
  <c r="E29"/>
  <c r="E26"/>
  <c r="E22"/>
  <c r="E13"/>
  <c r="E10"/>
  <c r="E6"/>
  <c r="E3"/>
  <c r="E66" i="5"/>
  <c r="E62"/>
  <c r="E60"/>
  <c r="E56"/>
  <c r="E55"/>
  <c r="E54"/>
  <c r="E50"/>
  <c r="E49"/>
  <c r="E47"/>
  <c r="E45"/>
  <c r="E42"/>
  <c r="E40"/>
  <c r="E34"/>
  <c r="E32"/>
  <c r="E28"/>
  <c r="E21"/>
  <c r="E19"/>
  <c r="E16"/>
  <c r="E13"/>
  <c r="E11"/>
  <c r="E3"/>
  <c r="E61" i="4"/>
  <c r="E55"/>
  <c r="E53"/>
  <c r="E49"/>
  <c r="E43"/>
  <c r="E40"/>
  <c r="E38"/>
  <c r="E35"/>
  <c r="E30"/>
  <c r="E28"/>
  <c r="E26"/>
  <c r="E20"/>
  <c r="E16"/>
  <c r="E11"/>
  <c r="E9"/>
  <c r="E7"/>
  <c r="E4"/>
  <c r="E3"/>
  <c r="F78" i="3"/>
  <c r="E78"/>
  <c r="E38"/>
  <c r="E40"/>
  <c r="E45"/>
  <c r="E49"/>
  <c r="E53"/>
  <c r="E56"/>
  <c r="E59"/>
  <c r="E61"/>
  <c r="E63"/>
  <c r="E67"/>
  <c r="E69"/>
  <c r="E77"/>
  <c r="E34"/>
  <c r="E30"/>
  <c r="E28"/>
  <c r="E27"/>
  <c r="E22"/>
  <c r="E21"/>
  <c r="E17"/>
  <c r="E12"/>
  <c r="E4"/>
  <c r="E3"/>
  <c r="F90" i="2"/>
  <c r="F88"/>
  <c r="E88"/>
  <c r="F81" i="1"/>
  <c r="E81"/>
  <c r="E84" i="2"/>
  <c r="E81"/>
  <c r="E79"/>
  <c r="E77"/>
  <c r="E74"/>
  <c r="E69"/>
  <c r="E67"/>
  <c r="E61"/>
  <c r="E59"/>
  <c r="E58"/>
  <c r="E47"/>
  <c r="E42"/>
  <c r="E40"/>
  <c r="E34"/>
  <c r="E24"/>
  <c r="E22"/>
  <c r="E20"/>
  <c r="E17"/>
  <c r="E14"/>
  <c r="E9"/>
  <c r="E3"/>
  <c r="F83" i="1"/>
  <c r="E79"/>
  <c r="E69"/>
  <c r="E66"/>
  <c r="E63"/>
  <c r="E57"/>
  <c r="E55"/>
  <c r="E50"/>
  <c r="E45"/>
  <c r="E42"/>
  <c r="E40"/>
  <c r="E37"/>
  <c r="E34"/>
  <c r="E31"/>
  <c r="E25"/>
  <c r="E22"/>
  <c r="E21"/>
  <c r="E18"/>
  <c r="E12"/>
  <c r="E11"/>
  <c r="E8"/>
  <c r="E81" i="12"/>
  <c r="K110"/>
  <c r="E75"/>
  <c r="E67"/>
  <c r="E57"/>
  <c r="E52"/>
  <c r="E51"/>
  <c r="E42"/>
  <c r="E41"/>
  <c r="E40"/>
  <c r="E39"/>
  <c r="F27"/>
  <c r="E21"/>
  <c r="E18"/>
  <c r="E64" i="9" l="1"/>
  <c r="F76" i="7"/>
  <c r="F60" i="6"/>
  <c r="F68" i="5"/>
  <c r="F119" i="12"/>
  <c r="F59" i="11" l="1"/>
  <c r="F65" i="10"/>
  <c r="F68" i="9"/>
  <c r="F72" i="8"/>
  <c r="F68" i="4"/>
  <c r="E8" i="12" l="1"/>
  <c r="E7"/>
  <c r="E54" i="11"/>
  <c r="E52"/>
  <c r="E49"/>
  <c r="E45"/>
  <c r="E43"/>
  <c r="E36"/>
  <c r="E35"/>
  <c r="E31"/>
  <c r="E27"/>
  <c r="E19"/>
  <c r="E10"/>
  <c r="E8"/>
  <c r="E4"/>
  <c r="E62" i="10"/>
  <c r="E58"/>
  <c r="E56"/>
  <c r="E52"/>
  <c r="E49"/>
  <c r="E46"/>
  <c r="E44"/>
  <c r="E38"/>
  <c r="E37"/>
  <c r="E33"/>
  <c r="E30"/>
  <c r="E25"/>
  <c r="E21"/>
  <c r="E15" l="1"/>
  <c r="E13"/>
  <c r="E12"/>
  <c r="E7"/>
  <c r="E60" i="9" l="1"/>
  <c r="E43"/>
  <c r="E48"/>
  <c r="E56"/>
  <c r="E40"/>
  <c r="E35"/>
  <c r="E32"/>
  <c r="E26"/>
  <c r="E24"/>
  <c r="E23"/>
  <c r="E20"/>
  <c r="E15"/>
  <c r="E12"/>
  <c r="E11"/>
  <c r="E8" l="1"/>
  <c r="E4"/>
  <c r="E55" i="8"/>
  <c r="E51"/>
  <c r="E49"/>
  <c r="E44"/>
  <c r="E38"/>
  <c r="E36"/>
  <c r="E31"/>
  <c r="E29"/>
  <c r="E28"/>
  <c r="E26"/>
  <c r="E21"/>
  <c r="E11"/>
  <c r="E5"/>
  <c r="F80" i="3" l="1"/>
  <c r="E68" i="4" l="1"/>
  <c r="F70" s="1"/>
  <c r="E68" i="5" s="1"/>
  <c r="F70" s="1"/>
  <c r="E60" i="6" l="1"/>
  <c r="F62" l="1"/>
  <c r="E76" i="7" s="1"/>
  <c r="F78" l="1"/>
  <c r="E3" i="8" l="1"/>
  <c r="E72" s="1"/>
  <c r="F74" s="1"/>
  <c r="E3" i="9" s="1"/>
  <c r="E68" s="1"/>
  <c r="F70" s="1"/>
  <c r="E3" i="10" s="1"/>
  <c r="E65" s="1"/>
  <c r="F67" s="1"/>
  <c r="E3" i="11" s="1"/>
  <c r="I79" i="7"/>
  <c r="K115" i="12" l="1"/>
  <c r="E59" i="11"/>
  <c r="F61" s="1"/>
  <c r="E3" i="12" s="1"/>
  <c r="E119" l="1"/>
  <c r="F121" s="1"/>
</calcChain>
</file>

<file path=xl/sharedStrings.xml><?xml version="1.0" encoding="utf-8"?>
<sst xmlns="http://schemas.openxmlformats.org/spreadsheetml/2006/main" count="910" uniqueCount="677">
  <si>
    <t>DATE</t>
  </si>
  <si>
    <t>PIECE N°</t>
  </si>
  <si>
    <t>DESIGNATION</t>
  </si>
  <si>
    <t>ENTREE</t>
  </si>
  <si>
    <t>SORTIE</t>
  </si>
  <si>
    <t>CARBURANT JIMNY</t>
  </si>
  <si>
    <t>TOTAL</t>
  </si>
  <si>
    <t>RECHARGES ORANGE</t>
  </si>
  <si>
    <t>VENTES AU COMPTANT DU 03/01</t>
  </si>
  <si>
    <t>VENTES AU COMPTANT DU 05/01</t>
  </si>
  <si>
    <t>VENTES AU COMPTANT DU 09/01</t>
  </si>
  <si>
    <t>VENTES AU COMPTANT DU 10/01</t>
  </si>
  <si>
    <t>VENTES AU COMPTANT DU 11/01</t>
  </si>
  <si>
    <t>REPARATION MOTO</t>
  </si>
  <si>
    <t>MANUTENTION HYSTER</t>
  </si>
  <si>
    <t>VENTES AU COMPTANT DU 04/01</t>
  </si>
  <si>
    <t>LAVAGE VEH</t>
  </si>
  <si>
    <t>VENTES AU COMPTANT DU 08/01</t>
  </si>
  <si>
    <t>LAVAGE MOTO</t>
  </si>
  <si>
    <t>NORCOCI</t>
  </si>
  <si>
    <t>IMPOTS</t>
  </si>
  <si>
    <t>TAMPONS</t>
  </si>
  <si>
    <t>PEAGE AUTOROUTE YOP</t>
  </si>
  <si>
    <t>TRAVAUX DE MENUISERIE</t>
  </si>
  <si>
    <t>PRÊT - SENOU BI SEVERIN</t>
  </si>
  <si>
    <t>ZOUM SALAM</t>
  </si>
  <si>
    <t>REGLEMENT FACTURE SODECI</t>
  </si>
  <si>
    <t>ACHAT EAU - LAVIVA</t>
  </si>
  <si>
    <t>REGLEMENT TIMBRES FISCAUX</t>
  </si>
  <si>
    <t>VIDANGE MOTO</t>
  </si>
  <si>
    <t>ACHATS PAPIGRAPH</t>
  </si>
  <si>
    <t>ACHAT RECHARGE - ORANGE</t>
  </si>
  <si>
    <t>CARTES DE VISITE - OPHIR</t>
  </si>
  <si>
    <t>ACHAT PAPIGRAPH</t>
  </si>
  <si>
    <t>PONT A PEAGE</t>
  </si>
  <si>
    <t>EAU - LAVIVA</t>
  </si>
  <si>
    <t>RECHARGEMENT CARTE TOTAL - MOTO</t>
  </si>
  <si>
    <t>ISL</t>
  </si>
  <si>
    <t>TOTAL CAISSE PHY</t>
  </si>
  <si>
    <t>ENTRETIEN MOTO</t>
  </si>
  <si>
    <t>RESTAURATION CLIENT - FRIEDLANDER</t>
  </si>
  <si>
    <t xml:space="preserve">AVANCE SUR SALAIRE - KONAN GASTON </t>
  </si>
  <si>
    <t>ACHAT - PAPIGRAPH</t>
  </si>
  <si>
    <t>REGLEMENT FACTURE - E.I.E.E</t>
  </si>
  <si>
    <t>AVANCE SUR SALAIRE - MOCKE JUDICAEL</t>
  </si>
  <si>
    <t>REGLEMENT FACTURE - MOOV</t>
  </si>
  <si>
    <t>LAVAGE AUTO</t>
  </si>
  <si>
    <t>REPORT JUILLET 2018</t>
  </si>
  <si>
    <t>REMBOURSEMENT PRÊT - JILUS BAMBA</t>
  </si>
  <si>
    <t>ACHATS DIVERS - SOCOCE ZONE 3</t>
  </si>
  <si>
    <t>ACHATS DIVERS - COQIVOIRE</t>
  </si>
  <si>
    <t>SOLDE - MAMMY WATA</t>
  </si>
  <si>
    <t>HOTEL HIRE</t>
  </si>
  <si>
    <t>GONFLAGE ROUES JIMNY</t>
  </si>
  <si>
    <t>PEAGE AUTOROUTE</t>
  </si>
  <si>
    <t>RESTAURATION ENDEAVOUR</t>
  </si>
  <si>
    <t>DIVERS FRAIS DE MISSION</t>
  </si>
  <si>
    <t>ACHAT FOURNITURES - CHEVALIER</t>
  </si>
  <si>
    <t>REPORT AOÛT 2018</t>
  </si>
  <si>
    <t>VENTES AU COMPTANT DU 01/08/2018</t>
  </si>
  <si>
    <t>ACHAT - SIVMAT</t>
  </si>
  <si>
    <t>MANUTENTION - HYSTER</t>
  </si>
  <si>
    <t xml:space="preserve">AVANCE SUR SALAIRE - SENOU BI </t>
  </si>
  <si>
    <t>VENTES AU COMPTANT DU 02/08/2018</t>
  </si>
  <si>
    <t>FRAIS DE TAXIS - SEMAINE DU 01 AU 04/08/2018</t>
  </si>
  <si>
    <t xml:space="preserve">PONT A PEAGE </t>
  </si>
  <si>
    <t>CARBURANT - AUTO</t>
  </si>
  <si>
    <t>ACHAT DU CODE GENERAL DES IMPÔTS 2018</t>
  </si>
  <si>
    <t>VENTES AU COMPTANT DU 03,08 ET 09/08/2018</t>
  </si>
  <si>
    <t>FRAIS DE TAXIS - SEMAINE DU 06 AU 11/08/2018</t>
  </si>
  <si>
    <t>RESTAURATION CLIENT - GEMA CI</t>
  </si>
  <si>
    <t>VENTES AU COMPTANT DU 10&amp;13/08/18</t>
  </si>
  <si>
    <t>VENTES AU COMPTANT DU 14/08/18</t>
  </si>
  <si>
    <t>REGLEMENT FACTURE - SIF PLAST CI FA N° 01202, 01345 &amp; 01333</t>
  </si>
  <si>
    <t>REGLEMENT CHEQUE IMPAYE</t>
  </si>
  <si>
    <t>VENTES AU COMPTANT DU 17/08/2018</t>
  </si>
  <si>
    <t>FRAIS DE TAXIS - SEMAINE DU 13 AU 18/08/2018</t>
  </si>
  <si>
    <t>PRÊT SUR SALAIRE - MOCKE JUDICAEL</t>
  </si>
  <si>
    <t>VENTES AU COMPTANT DU 20/08/2018</t>
  </si>
  <si>
    <t>VENTES AU COMPTANT DU 22/08/2018</t>
  </si>
  <si>
    <t>SORITIE DE CAISSE - VERSEMENT D'ESPECES</t>
  </si>
  <si>
    <t>CLEF MINUTE - ITEX SARL</t>
  </si>
  <si>
    <t>VENTES AU COMPTANT DU 23 &amp; 24/08/2018</t>
  </si>
  <si>
    <t xml:space="preserve">FRAIS DE TAXIS - SEMAINE DU 20 AU 25/08/2018 </t>
  </si>
  <si>
    <t xml:space="preserve"> </t>
  </si>
  <si>
    <t>REGLEMENT FACTURE E.I.E.E</t>
  </si>
  <si>
    <t>VENTES AU COMPTANT DU 28 &amp; 29/08/18</t>
  </si>
  <si>
    <t>RESTAURATION CLIENT - ABEILLE CARRIERE</t>
  </si>
  <si>
    <t>VENTES AU COMPTANT DU 30/08/2018</t>
  </si>
  <si>
    <t>REGLEMENT SALAIRE MOIS AOUT - JEAN DANIEL AHOULE</t>
  </si>
  <si>
    <t>REGLEMENT SALAIRE MOIS AOUT - GUE DROH</t>
  </si>
  <si>
    <t>VENTES AU COMPTANT DU 31/08/2018</t>
  </si>
  <si>
    <t>FRAIS DE TAXIS - SEMAINE DU 27 AU 31/08/2018</t>
  </si>
  <si>
    <t>RECHARGES - ORANGE</t>
  </si>
  <si>
    <t>RECHARGE CARTE TOTAL - MOTO</t>
  </si>
  <si>
    <t>RECHARGE CARTE TOTAL - AUTO</t>
  </si>
  <si>
    <t>AVOIR - OPPORTUNITY</t>
  </si>
  <si>
    <t>VENTES AU COMPTANT DU 01/09</t>
  </si>
  <si>
    <t>REGLEMENT FACTURE INTERNET ORANGE</t>
  </si>
  <si>
    <t>RESTAURATION - CI THERM</t>
  </si>
  <si>
    <t>VENTES AU COMPTANT DU 03/09</t>
  </si>
  <si>
    <t>PRÊT SCOLAIRE - GASTON KONAN</t>
  </si>
  <si>
    <t>VENTES AU COMPTANT DU 04/09/2018</t>
  </si>
  <si>
    <t>VENTES AU COMPTANT DU 05/09/2018</t>
  </si>
  <si>
    <t>FRAIS DHL - CAMEROUN</t>
  </si>
  <si>
    <t>REGLEMENT FACT 01332 - SIF PLAST CI</t>
  </si>
  <si>
    <t>VENTES AU COMPTANT DU 06/09/2018</t>
  </si>
  <si>
    <t>PRÊT SCOLAIRE - SENOU BI</t>
  </si>
  <si>
    <t>FRAIS DE TAXIS - SEMAINE DU 03 AU 08/09/2018</t>
  </si>
  <si>
    <t>PRÊT SCOLAIRE - TANOH</t>
  </si>
  <si>
    <t>VENTES AU COMPTANT DU 10/09/2018</t>
  </si>
  <si>
    <t>ACHAT PAPIER RAME</t>
  </si>
  <si>
    <t>VENTES AU COMPTANT DU 11/09/2018</t>
  </si>
  <si>
    <t>VENTES AU COMPTANT DU 12/09/2018</t>
  </si>
  <si>
    <t>RELIURES</t>
  </si>
  <si>
    <t>VENTES AU COMPTANT DU 13/09/2018</t>
  </si>
  <si>
    <t>AVANCE SUR SALAIRE - SENOU BI</t>
  </si>
  <si>
    <t>ACHAT - SOCOCE</t>
  </si>
  <si>
    <t>CAUTION MAISON - GERMAIN DROH</t>
  </si>
  <si>
    <t>AVANCE SUR SALAIRE - JUDICAEL MOCKE</t>
  </si>
  <si>
    <t>VENTES AU COMPTANT DU 14/09/2018</t>
  </si>
  <si>
    <t>FRAIS DE TAXIS - SEMAINE DU 10 AU 15/09/2018</t>
  </si>
  <si>
    <t>VENTES AU COMPTANT DU 17/09/2018</t>
  </si>
  <si>
    <t>RECHARGEMENT TOTAL - MOTO</t>
  </si>
  <si>
    <t>ACOMPTE SUR SALIRE - AHONON TANOH</t>
  </si>
  <si>
    <t>RESTAURATION - CLIENT CIMAF</t>
  </si>
  <si>
    <t>VENTES AU COMPTANT DU 18/09/2018</t>
  </si>
  <si>
    <t>REGLEMENT FACTURE EIEE - MOIS 08/18</t>
  </si>
  <si>
    <t>ACHAT CARTE CI</t>
  </si>
  <si>
    <t>COCKTAIL</t>
  </si>
  <si>
    <t>REGLEMENT FACTURE NORMALISEE</t>
  </si>
  <si>
    <t>VENTES AU COMPTANT DU 24&amp;25/09/2018</t>
  </si>
  <si>
    <t>ACOMPTE SUR SALIRE - AHOULE JEAN DANIEL</t>
  </si>
  <si>
    <t>PENALITE SABOT</t>
  </si>
  <si>
    <t>CARBURANT - JIMNY</t>
  </si>
  <si>
    <t>RECHARGEMENT TOTAL - AUTO</t>
  </si>
  <si>
    <t>FRAIS DE TAXIS - SEMAINE DU 17 AU 22/09/2018</t>
  </si>
  <si>
    <t>VENTES AU COMPTANT DU 21/09/2018</t>
  </si>
  <si>
    <t>AVANCE SUR SALAIRE BOUDIER - SEMPTEMBRE 2018</t>
  </si>
  <si>
    <t>TRAVAUX BUREAU - ELECTRICITE</t>
  </si>
  <si>
    <t>TRAVAUX MAGASIN - ELECTRICITE</t>
  </si>
  <si>
    <t>VENTES AU COMPTANT DU 19/08/2018</t>
  </si>
  <si>
    <t>REGLEMENT FACTURE OPHIR GRAPHIC</t>
  </si>
  <si>
    <t>REGLEMENT OPHIR GRAPHIC</t>
  </si>
  <si>
    <t>VENTES AU COMPTANT DU 26&amp;27/09/2018</t>
  </si>
  <si>
    <t>VENTES AU COMPTANT DU 28&amp;29/09/2018</t>
  </si>
  <si>
    <t>FRAIS DE TAXIS - DU 24 AU 29/09/2018</t>
  </si>
  <si>
    <t>REPARATION PNEU - MOTO</t>
  </si>
  <si>
    <t>APPORT CAISSE DU 07/09</t>
  </si>
  <si>
    <t>AGENT NORCOCI</t>
  </si>
  <si>
    <t>???</t>
  </si>
  <si>
    <t>DEPOT ESPECES DU 19/09</t>
  </si>
  <si>
    <t>REPORT SEPTEMBRE 2018</t>
  </si>
  <si>
    <t>LAISSER-PASSER - IRES</t>
  </si>
  <si>
    <t>REGLEMENT SALAIRE GUEH DROH - 09/18</t>
  </si>
  <si>
    <t>VENTES AU COMPTANT DU 01/10/2018</t>
  </si>
  <si>
    <t>REGLEMENT SALAIRE AHOULE - 09/18</t>
  </si>
  <si>
    <t>VENTES AU COMPTANT DU 03/10/2018</t>
  </si>
  <si>
    <t>VENTES AU COMPTANT DU 04/10/2018</t>
  </si>
  <si>
    <t>VENTES AU COMPTANT DU 05/10/2018</t>
  </si>
  <si>
    <t>FRAIS DE TAXIS - DU 01 AU 06/10/2018</t>
  </si>
  <si>
    <t>ACOMPTE SENOU BI - MOIS 10/18</t>
  </si>
  <si>
    <t>REGLEMENT FACTURE INTERNET</t>
  </si>
  <si>
    <t>REGLEMENT FACTURE MOOV</t>
  </si>
  <si>
    <t>FACTURE MGR</t>
  </si>
  <si>
    <t>TANOH</t>
  </si>
  <si>
    <t>PLAN DE LOCALISATION</t>
  </si>
  <si>
    <t>REPORT OCTOBRE 208</t>
  </si>
  <si>
    <t>VENTES AU COMPTANT DU 08/10/2018</t>
  </si>
  <si>
    <t>REGLEMENT FACTURE EIEE</t>
  </si>
  <si>
    <t>RELIQUAT FACTURE INTERNET</t>
  </si>
  <si>
    <t>VENTES AU COMPTANT DU 09/10/2018</t>
  </si>
  <si>
    <t>ACHAT EAU LAVIVA</t>
  </si>
  <si>
    <t>REGLEMENT FACTURE YARA N° 01681</t>
  </si>
  <si>
    <t>AVANCE SUR SALAIRE DJEBE ARTHUR - 10/18</t>
  </si>
  <si>
    <t>VENTES AU COMPTANT DU 11/10/2018</t>
  </si>
  <si>
    <t>REGLEMENT FACTURE - IPI</t>
  </si>
  <si>
    <t>AVANCE SUR SALAIRE MOCKE JUDICAEL - 10/18</t>
  </si>
  <si>
    <t>VENTES AU COMPTANT DU 15/10/2018</t>
  </si>
  <si>
    <t>COCKTAIL - CCIF</t>
  </si>
  <si>
    <t>VENTES AU COMPTANT DU 17/10/2018</t>
  </si>
  <si>
    <t>VENTES AU COMPTANT DU 18/10/2018</t>
  </si>
  <si>
    <t>RELIURES - BILAN 2015</t>
  </si>
  <si>
    <t>AVANCE SUR SALAIRE KONA GASTON - 10/18</t>
  </si>
  <si>
    <t>FRAIS DE TAXIS DU 15 AU 20/10/2018</t>
  </si>
  <si>
    <t>LAVAGE ET ASPIRATION - AUTO</t>
  </si>
  <si>
    <t>VIDANGE &amp; LAVAGE - MOTO</t>
  </si>
  <si>
    <t>VENTES AU COMPTANT DU 19,20 &amp;22 10/2018</t>
  </si>
  <si>
    <t>VENTES AU COMPTANT DU 23/10/2018</t>
  </si>
  <si>
    <t>RECHARGE CARTE TOTAL (JIMNY)</t>
  </si>
  <si>
    <t>VENTES AU COMPTANT DU 24/10/2018</t>
  </si>
  <si>
    <t>REGLEMENT FACTURE - OPHIR GRAPHIC</t>
  </si>
  <si>
    <t>REGLEMENT PCM</t>
  </si>
  <si>
    <t>VENTES AU COMPTANT DU 25/10/2018</t>
  </si>
  <si>
    <t>REGLEMENT FACTURE MOOV - 10/18</t>
  </si>
  <si>
    <t>FRAIS DE TAXIS DU 22 AU 27/10/2018</t>
  </si>
  <si>
    <t>EAU LAVIVA</t>
  </si>
  <si>
    <t>VENTES AU COMPTANT DU 29/10/2018</t>
  </si>
  <si>
    <t>VENTES AU COMPTANT DU 30/10/2018</t>
  </si>
  <si>
    <t>REGLEMENT SALAIRE GUE DROH - 10/18</t>
  </si>
  <si>
    <t>REGLEMENT SALAIRE DJEBE ARTHUR - 10/18</t>
  </si>
  <si>
    <t>FRAIS DE TAXIS DU 29 AU 31/10/2018</t>
  </si>
  <si>
    <t>VENTES AU COMPTANT DU 31/10/2018</t>
  </si>
  <si>
    <t>REPORT NOVEMBRE 2018</t>
  </si>
  <si>
    <t>VENTES AU COMPTANT DU 02/11/2018</t>
  </si>
  <si>
    <t>FRAIS DE TAXIS DU 02 AU 03/11/2018</t>
  </si>
  <si>
    <t>REGLEMENT FACTURE INTERNET - 11/18</t>
  </si>
  <si>
    <t>ACHATS CARTES ORANGE - 11/18</t>
  </si>
  <si>
    <t>VENTES DU  COMPTANT DU 06/11/2018</t>
  </si>
  <si>
    <t>VENTES AU COMPTANT DU 07/11/2018</t>
  </si>
  <si>
    <t>REGLEMENT FACT N°01994 - SOUDOTEC</t>
  </si>
  <si>
    <t>ACHAT DE BROSSE + GRILLAGE</t>
  </si>
  <si>
    <t>REGLEMENT FACTURE EIEE - 10/18</t>
  </si>
  <si>
    <t>REPARATION - TRAVAUX MENUISERIE</t>
  </si>
  <si>
    <t>LAVAGE ET VIDANGE - MOTO</t>
  </si>
  <si>
    <t>VISITE SIETTA</t>
  </si>
  <si>
    <t>ETABLISSEMENT DE PERMIS DE CONDUIRE</t>
  </si>
  <si>
    <t>VENTES AU COMPTANT DU 09/11/2018</t>
  </si>
  <si>
    <t>FRAIS DE TAXIS DU 05 AU 10/11/2018</t>
  </si>
  <si>
    <t>REGLEMENT FACTURE N° 01865 - NG PAGANI</t>
  </si>
  <si>
    <t>ACOMPTE  SENOU BI - 11/18</t>
  </si>
  <si>
    <t>ACHATS SOCOCE - 11/18</t>
  </si>
  <si>
    <t>ACHATS PAPIGRAPH - 11/18</t>
  </si>
  <si>
    <t>ACOMPTE  KONAN GASTON - 11/18</t>
  </si>
  <si>
    <t>VENTES AU COMPTANT DU 11/11/2018</t>
  </si>
  <si>
    <t>CONVENTION COMPTE COURANT ASSOCIÉ</t>
  </si>
  <si>
    <t>RELIURES DOCUMENTS</t>
  </si>
  <si>
    <t>VENTES AU COMPTANT DU 13/11/2018</t>
  </si>
  <si>
    <t>REGLEMENT FACTURE PCM</t>
  </si>
  <si>
    <t>REGLEMENT FACT N°01922 - SIF PLAST CI</t>
  </si>
  <si>
    <t>RECHARGEMENT CARTE TOTAL - AUTO</t>
  </si>
  <si>
    <t>VENNTES AU COMPTANT DU 16/11/2018</t>
  </si>
  <si>
    <t>VENTES AU COMPTANT DU 17/11/2018</t>
  </si>
  <si>
    <t>FRAIS DE TAXIS - DU 12 AU 17/11/2018</t>
  </si>
  <si>
    <t>REGLEMENT FACTURE MOOV - 12/18</t>
  </si>
  <si>
    <t>SOLDE TEE-SCHIRT 2018</t>
  </si>
  <si>
    <t>AVANCE SUR SALAIRE KONAN GASTON - 11/18</t>
  </si>
  <si>
    <t>VENTES AU COMPTANT DU 19 &amp; 21/11/2018</t>
  </si>
  <si>
    <t>VENTES AU COMPTANT DU 22 &amp; 23/11/2018</t>
  </si>
  <si>
    <t>FRAIS DE TAXIS - DU 12 AU 24/11/2018</t>
  </si>
  <si>
    <t>ACHAT KITS COMMERCIAL</t>
  </si>
  <si>
    <t>VENTES AU COMPTANT DU 26/11/2018</t>
  </si>
  <si>
    <t>REGLEMENT E.I.E.E 11/18</t>
  </si>
  <si>
    <t>REGLEMENT SALAIRE GUE DROH - 11/18</t>
  </si>
  <si>
    <t>VENTES AU COMPTANT DU 28/11/2018</t>
  </si>
  <si>
    <t>REGLEMENT FACTURE AIRONE</t>
  </si>
  <si>
    <t>VENTES AU COMPTANT DU 29 &amp; 30 /11/2018</t>
  </si>
  <si>
    <t>FRAIS DE TAXIS DU 26 AU 30/11/2018</t>
  </si>
  <si>
    <t>FACTURE MANCI</t>
  </si>
  <si>
    <t>REGLEMENT SALAIRE DJEBE ARTHUR - 11/18</t>
  </si>
  <si>
    <t>FACTURE OPHIR GRAPHIC</t>
  </si>
  <si>
    <t xml:space="preserve"> REGLEMENT FACTURE PCM</t>
  </si>
  <si>
    <t>REGLEMENT FACTURE N° 02070 - ATN</t>
  </si>
  <si>
    <t>VENTES AU COMPTANT DU 01 &amp; 02/12/2018</t>
  </si>
  <si>
    <t>ACHATS CARTES ORANGE - 12/18</t>
  </si>
  <si>
    <t>ACHAT TELEPHONE MOBILE</t>
  </si>
  <si>
    <t>FOURNITURES BERNABE</t>
  </si>
  <si>
    <t>CONFECTION ET INSTALLATION MAGASIN - CMAPS</t>
  </si>
  <si>
    <t>VIDANGE &amp; ENTRETIEN - MOTO</t>
  </si>
  <si>
    <t>ENTRETIEN CLIM</t>
  </si>
  <si>
    <t>ENTRETIEN - AUTO</t>
  </si>
  <si>
    <t>ACHAT AMPOULE - AUTO</t>
  </si>
  <si>
    <t>VISITE TECHNIQUE - SGS</t>
  </si>
  <si>
    <t>VENTES AU COMPTANT DU 04/12/2018</t>
  </si>
  <si>
    <t xml:space="preserve">MANUTENTION HYSTER </t>
  </si>
  <si>
    <t>VENTES AU COMPTANT DU 05/12/2018</t>
  </si>
  <si>
    <t>ACHAT PNEU GT RADIAL - GAS</t>
  </si>
  <si>
    <t>REPARATION - MOTO</t>
  </si>
  <si>
    <t>REPARATION - AUTO</t>
  </si>
  <si>
    <t>FRAIS DE TAXIS - DU 03 AU 08/12/2018</t>
  </si>
  <si>
    <t>ACHAT - CFAO</t>
  </si>
  <si>
    <t>ACOMPTE SENOU BI - 12/18</t>
  </si>
  <si>
    <t>ACHAT CAFE - SOCOCE</t>
  </si>
  <si>
    <t>RESTAURATION CLIENT - SAPH</t>
  </si>
  <si>
    <t>ENREGISTREMENT AG 2017</t>
  </si>
  <si>
    <t>REGLEMENT FACTURE - SIF PLAST CI</t>
  </si>
  <si>
    <t>AVANCE SUR SALAIRE KONAN GASTON - 12/18</t>
  </si>
  <si>
    <t>VENTES AU COMPTANT DU 06 &amp; 07/12/2018</t>
  </si>
  <si>
    <t>VENTES AU COMPTANT DU 08 &amp; 10/12/2018</t>
  </si>
  <si>
    <t>VENTES AU COMPTANT DU 11/12/2018</t>
  </si>
  <si>
    <t>VENTES AU COMPTANT DU 12/12/2018</t>
  </si>
  <si>
    <t>ACHAT ADAPTATEUR - DMEIB</t>
  </si>
  <si>
    <t>DECLARATION DE PERTE PIECES - AUTO</t>
  </si>
  <si>
    <t>FACTURE PCM</t>
  </si>
  <si>
    <t>FACTURE PAGANI - FACT 02253</t>
  </si>
  <si>
    <t>VENTES AU COMPTANT DU 13/12/2018</t>
  </si>
  <si>
    <t>VENTES AU COMPTANT DU 14&amp;15/12/2018</t>
  </si>
  <si>
    <t>FRAIS DE TAXIS - SEMAINE DU 10 AU15/12/2018</t>
  </si>
  <si>
    <t>ACHAT - CACOMIAF</t>
  </si>
  <si>
    <t>AVANCE SUR SALAIRE DJEBE ARTHUR - 12/18</t>
  </si>
  <si>
    <t>REGLEMENT DIVERSES FACTURES</t>
  </si>
  <si>
    <t>VENTES AU COMPTANT DU 17&amp;18/12/2018</t>
  </si>
  <si>
    <t>DUPLICATA CONTRÔLE TECHNIQUE - SGS</t>
  </si>
  <si>
    <t>RESTAURATION - TENTE</t>
  </si>
  <si>
    <t>LAVAGE - MOTO</t>
  </si>
  <si>
    <t>DUPLICATA ASSURANCE - AUTO</t>
  </si>
  <si>
    <t>FACTURE MOOV - 12/18</t>
  </si>
  <si>
    <t>LAVER &amp; ASPIRER</t>
  </si>
  <si>
    <t>VENTES AU COMPTANT DU 19 &amp; 20/12/2018</t>
  </si>
  <si>
    <t>FRAIS DE TAXIS - DU 17 AU 22/12/2018</t>
  </si>
  <si>
    <t>GRATIFICATION DE FIN D'ANNEE - GUE DROH</t>
  </si>
  <si>
    <t>FACTURE E.I.E.E</t>
  </si>
  <si>
    <t>CONGE ANNUEL - KONAN GASTON</t>
  </si>
  <si>
    <t>VENTES AU COMPTANT DU 21 &amp; 24/12/2018</t>
  </si>
  <si>
    <t>SALAIRE GUE DROH - 12/18</t>
  </si>
  <si>
    <t>CAISSE</t>
  </si>
  <si>
    <t>GRATIFICATION DE FIN D'ANNEE - AHOULE JEAN DANIEL</t>
  </si>
  <si>
    <t>SALAIRE DJEBE ARTHUR - 12/18</t>
  </si>
  <si>
    <t>VENTE AU COMPTANT DU 26/12/2018</t>
  </si>
  <si>
    <t>VENTE AU COMPTANT DU 27/12/2018</t>
  </si>
  <si>
    <t>VENTE AU COMPTANT DU 28/12/2018</t>
  </si>
  <si>
    <t>VENTE AU COMPTANT DU 29/12/2018</t>
  </si>
  <si>
    <t>REPORT DECEMBRE 2018</t>
  </si>
  <si>
    <t>CARBURANT AUTO</t>
  </si>
  <si>
    <t>DECLARATION DE PERTE - CARTE TOTAL VEH</t>
  </si>
  <si>
    <t>FOURNITURES PAPIGRAPH</t>
  </si>
  <si>
    <t>FRAIS TAXI - SEMAINE DU 02/01 AU 05/01</t>
  </si>
  <si>
    <t>AVANCE SUR SALAIRE 01/19 - SENOU BI</t>
  </si>
  <si>
    <t>REPAS NOEL - SOS</t>
  </si>
  <si>
    <t>BILLET AVION - BOUDIER</t>
  </si>
  <si>
    <t>T-SHIRT - NAURELLE GROUE</t>
  </si>
  <si>
    <t>ENTREE PORT</t>
  </si>
  <si>
    <t>CALENDRIERS - MEDI@ROCH</t>
  </si>
  <si>
    <t>AVANCE TRAVAUX ELECTRICITE</t>
  </si>
  <si>
    <t>FRAIS TAXI - SEMAINE DU 07/01 AU 12/01</t>
  </si>
  <si>
    <t>AVANCE TRAVAIL PRESENTOIR MECHES</t>
  </si>
  <si>
    <t>ENTRETIEN JIMNY - GAS</t>
  </si>
  <si>
    <t>VENTES AU COMPTANT DU 14/01</t>
  </si>
  <si>
    <t>CALENDRIERS + BLOCS NOTE - OPHIR GRAPHIC</t>
  </si>
  <si>
    <t>VENTES AU COMPTANT DU 15/01</t>
  </si>
  <si>
    <t>SOLDE INSTALLATION ELECTRIQUE - EIEE</t>
  </si>
  <si>
    <t>VENTES AU COMPTANT DU 16/01</t>
  </si>
  <si>
    <t>VENTES AU COMPTANT DU 17/01</t>
  </si>
  <si>
    <t>CHAISES ET FAUTEUIL</t>
  </si>
  <si>
    <t>VENTES AU COMPTANT DU 18/01</t>
  </si>
  <si>
    <t>SOLDE TRAVAIL PRESENTOIR MECHES</t>
  </si>
  <si>
    <t>FRAIS TAXI - SEMAINE DU 14/01 AU 19/01</t>
  </si>
  <si>
    <t>VENTES AU COMPTANT DU 21/01</t>
  </si>
  <si>
    <t>PRÊT - JUDICAEL MOCKE</t>
  </si>
  <si>
    <t>REPORT JANVIER 2019</t>
  </si>
  <si>
    <t>REPORT FEVRIER 2019</t>
  </si>
  <si>
    <t>REPARATION AUTO - GAS</t>
  </si>
  <si>
    <t>ACHAT TABLETTE - TENTE</t>
  </si>
  <si>
    <t>VENTES AU COMPTANT DU 22/01/19</t>
  </si>
  <si>
    <t>FACTURE MOOV - 02/19</t>
  </si>
  <si>
    <t>ETABLISSEMENT CERTIFICAT DE RESIDENCE</t>
  </si>
  <si>
    <t>ACHAT SOCOCE</t>
  </si>
  <si>
    <t>CCI France - ANNEXE FISCALE</t>
  </si>
  <si>
    <t>VENTES AU COMPTANT DU 23/01/19</t>
  </si>
  <si>
    <t>VENTES AU COMPTANT DU 24/01/2019</t>
  </si>
  <si>
    <t>ENROLEMENT CMU</t>
  </si>
  <si>
    <t>HEBERGEMENT M. ROUCHER - LA TERRASSE</t>
  </si>
  <si>
    <t>FRAIS DE TAXIS - DU 21 AU 26/01/2019</t>
  </si>
  <si>
    <t>ACHAT SAC - JUMIA</t>
  </si>
  <si>
    <t>VENTES AU COMPTANT DU 28/01/2019</t>
  </si>
  <si>
    <t>VIDANGE MOTO - RYMCO</t>
  </si>
  <si>
    <t>VENTES AU COMPTANT DU 29/01/2019</t>
  </si>
  <si>
    <t>VENTES AU COMPTANT DU 30/01/2019</t>
  </si>
  <si>
    <t>FACTURE SODECI</t>
  </si>
  <si>
    <t>ACHAT TELEPHONE - MOOV FLOTTE</t>
  </si>
  <si>
    <t>ACOMPTE  ARTHUR DJEBE - 01/19</t>
  </si>
  <si>
    <t>COMPTE BICICI</t>
  </si>
  <si>
    <t>ABONNEMENT CARTE TOTAL</t>
  </si>
  <si>
    <t>SALAIRE ARTHUR DJEBE - 01/19</t>
  </si>
  <si>
    <t>FACTURE AIRONE CI</t>
  </si>
  <si>
    <t>VENTES AU COMPTANT DU 31/01/2019</t>
  </si>
  <si>
    <t>FRAIS DE TAXIS - DU 28 AU 31/01/2019</t>
  </si>
  <si>
    <t>TRAVAUX PLOMBERIES</t>
  </si>
  <si>
    <t>ENTRETIEN - BUREAU</t>
  </si>
  <si>
    <t>RECHARGE ORANGE</t>
  </si>
  <si>
    <t>SACHET EMBALLAGE - MAGASIN</t>
  </si>
  <si>
    <t>VENTES AU COMPTANT DU 01/02/2019</t>
  </si>
  <si>
    <t>FRAIS DE TAXIS - DU 01 AU 02/02/2019</t>
  </si>
  <si>
    <t>DUPLICATA CARTE TOTAL</t>
  </si>
  <si>
    <t>VENTES AU COMPTANT DU 04/02/2019</t>
  </si>
  <si>
    <t>TRANSPORT COLIS - OTV MALI</t>
  </si>
  <si>
    <t>VENTES AU COMPTANT DU 05/02/2019</t>
  </si>
  <si>
    <t>REGLEMENT CARTES DE VISITE - OPHIR GRPHIC</t>
  </si>
  <si>
    <t>VENTES AU COMPTANT DU 06/02/2019</t>
  </si>
  <si>
    <t>VENTES AU COMPTANT DU 07/02/2019</t>
  </si>
  <si>
    <t>FACTURE SOFT DRINKS CI</t>
  </si>
  <si>
    <t>VENTES AU COMPTANT DU 08 &amp; 09/02/2019</t>
  </si>
  <si>
    <t>ACOMPTE  SENOU BI - 02/19</t>
  </si>
  <si>
    <t>ACOMPTE - GUE DROH GERMAIN</t>
  </si>
  <si>
    <t>FRAIS DE TAXIS - DU 04 AU 09/02/2019</t>
  </si>
  <si>
    <t>TIMBRES FISCAUX - 01/19</t>
  </si>
  <si>
    <t>ACHAT DE PORTABLES</t>
  </si>
  <si>
    <t>RELIURE - AGREMENT STA</t>
  </si>
  <si>
    <t>VENTES AU COMPTANT DU 11/02/2019</t>
  </si>
  <si>
    <t>ACOMPTE KONAN GASTON - 02/19</t>
  </si>
  <si>
    <t>ENTRETIEN - MOTO CFAO</t>
  </si>
  <si>
    <t>SOCOCE - 02/19</t>
  </si>
  <si>
    <t>VENTES AU COMPTANT DU 12/02/2019</t>
  </si>
  <si>
    <t>FACTURE E.I.E.E - 02/19</t>
  </si>
  <si>
    <t>VENTES AU COMPTANT DU 13/02/2019</t>
  </si>
  <si>
    <t>CFACI</t>
  </si>
  <si>
    <t>CONFECTIION CACHETS</t>
  </si>
  <si>
    <t>VENTES AU COMPTANT DU 14/02/2019</t>
  </si>
  <si>
    <t>E.I.E.E ENTREPRISE</t>
  </si>
  <si>
    <t>FRAIS DE TAXIS - DU 11 AU 16/02/2019</t>
  </si>
  <si>
    <t>RETENUE A LA SOURCE - 01/19</t>
  </si>
  <si>
    <t xml:space="preserve">REPARATION AUTO </t>
  </si>
  <si>
    <t xml:space="preserve">ACHAT TELEPHONE </t>
  </si>
  <si>
    <t>ACOMPTE ARTHUR DJEBE - 02/19</t>
  </si>
  <si>
    <t>PRÊT JEAN DANIEL AHOULE - 02/19</t>
  </si>
  <si>
    <t>VENTES AU COMPTANT DU 15/02/2019</t>
  </si>
  <si>
    <t>VENTES AU COMPTANT DU 16 &amp; 18/02/2019</t>
  </si>
  <si>
    <t>RELIQUAT CFA-CI</t>
  </si>
  <si>
    <t>VENTES AU COMPTANT DU 19/02/2019</t>
  </si>
  <si>
    <t>TAG - TOTAL</t>
  </si>
  <si>
    <t>ACHAT PUCE FLOTTE MOOV</t>
  </si>
  <si>
    <t>FACTURE MOOV - 03/19</t>
  </si>
  <si>
    <t>FRAIS PONT A PEAGE</t>
  </si>
  <si>
    <t>VENTES AU COMPTANT DU 20/02/2019</t>
  </si>
  <si>
    <t>TRAVAUX MENUISERIE</t>
  </si>
  <si>
    <t>VENTES AU COMPTANT DU 21/02/2019</t>
  </si>
  <si>
    <t>REGLEMENT FACTURE AIRONE CI</t>
  </si>
  <si>
    <t>VENTES AU COMPTANT DU 22/02/19</t>
  </si>
  <si>
    <t>FRAIS DE TAXIS - DU 18 AU 23/02/2019</t>
  </si>
  <si>
    <t>ENTRETIEN MOTO - CFAO</t>
  </si>
  <si>
    <t>VENTES AU COMPTANT DU 25/02/2019</t>
  </si>
  <si>
    <t>LAVAGE &amp; VIDANGE - MOTO</t>
  </si>
  <si>
    <t>VENTES AU COMPTANT DU 26/02/2019</t>
  </si>
  <si>
    <t>CARBURANT -MOTO</t>
  </si>
  <si>
    <t>VENTES AU COMPTANT DU 27/02/2019</t>
  </si>
  <si>
    <t>VENTES AU COMPTANT DU 28/02/2019</t>
  </si>
  <si>
    <t>REVISION MOTEUR - MOTO</t>
  </si>
  <si>
    <t>FRAIS DE TAXIS - DU 25 AU 28/02/2019</t>
  </si>
  <si>
    <t>TRAVAUX TUP - KOUMASSI</t>
  </si>
  <si>
    <t>VENTES AU COMPTANT DU 01/03/2019</t>
  </si>
  <si>
    <t>SALAIRE ASSOUA ATTIEN - 02/19</t>
  </si>
  <si>
    <t>SALAIRE ARTHUR DJEBE - 02/19</t>
  </si>
  <si>
    <t>FRAIS DE TAXIS - DU 01 AU 02/03/2019</t>
  </si>
  <si>
    <t>FACTURE INTERNET - 02/19</t>
  </si>
  <si>
    <t>APPROVISIONNEMENT COMPTE BICICI</t>
  </si>
  <si>
    <t>VENTES AU COMPTANT DU 04/03/2019</t>
  </si>
  <si>
    <t>ACOMPTE SENOU BI - 03/19</t>
  </si>
  <si>
    <t>ACOMPTE KONAN GASTON - 03/19</t>
  </si>
  <si>
    <t>CONFECTION KITS - AVANCE ZOUM SALAM</t>
  </si>
  <si>
    <t>VENTES AU COMPTANT DU 05/03/2019</t>
  </si>
  <si>
    <t>PRÊT GUE DROH GERMAIN</t>
  </si>
  <si>
    <t>FACTURE SOUDOTEC</t>
  </si>
  <si>
    <t>REMBOURSEMENT ACOMPTE - SENOU BI</t>
  </si>
  <si>
    <t>VENTES AU COMPTANT DU 06/03/2019</t>
  </si>
  <si>
    <t>VENTES AU COMPTANT DU 07/03/2019</t>
  </si>
  <si>
    <t>FRAIS DE TAXIS - DU 04 AU 09/03/2019</t>
  </si>
  <si>
    <t>VENTES AU COMPTANT DU 08 &amp; 09/03/2019</t>
  </si>
  <si>
    <t>VENTES AU COMPTANT DU 11/03/2019</t>
  </si>
  <si>
    <t>FACTURE AZITO OM</t>
  </si>
  <si>
    <t>VENTES AU COMPTANT DU 12/03/2019</t>
  </si>
  <si>
    <t>RELIURE - AGREMENT</t>
  </si>
  <si>
    <t>CARTE TOTAL - MOTO</t>
  </si>
  <si>
    <t>RENOUVELLEMENT - CODE IMPORTATEUR</t>
  </si>
  <si>
    <t>VENTES AU COMPTANT DU 13/03/2019</t>
  </si>
  <si>
    <t>DEPOT ESPECE SGBCI</t>
  </si>
  <si>
    <t>LAVAGE JIMNY</t>
  </si>
  <si>
    <t>VENTES AU COMPTANT DU 30/03/2019</t>
  </si>
  <si>
    <t>FRAIS DE TAXIS - DU 25 AU 30/03/2019</t>
  </si>
  <si>
    <t>DEPÔT ESPECES - SGBCI</t>
  </si>
  <si>
    <t>SALAIRE MARS 2019 - MARTHE</t>
  </si>
  <si>
    <t>SALAIRE MARS 2019 - ARTHUR</t>
  </si>
  <si>
    <t xml:space="preserve">INTERNET </t>
  </si>
  <si>
    <t>CARTES ORANGE - 04/19</t>
  </si>
  <si>
    <t>VENTES AU COMPTANT DU 28/03/2019</t>
  </si>
  <si>
    <t>OPHIR GRAPHIC</t>
  </si>
  <si>
    <t>VENTES AU COMPTANT DU 27/03/2019</t>
  </si>
  <si>
    <t>VENTES AU COMPTANT DU 26/03/2019</t>
  </si>
  <si>
    <t>VENTES AU COMPTANT DU 25/03/2019</t>
  </si>
  <si>
    <t>FRAIS DE TAXIS - DU 18 AU 23/03/2019</t>
  </si>
  <si>
    <t>VENTES AU COMPTANT DU 22/03/2019</t>
  </si>
  <si>
    <t>PRÊT MOCKE JUDICAEL</t>
  </si>
  <si>
    <t>ACOMPTE GUE DROH - 03/19</t>
  </si>
  <si>
    <t>VENTES AU COMPTANT DU 21/03/2019</t>
  </si>
  <si>
    <t>RESTAURATION CLIENT - DREAM COSMETICS</t>
  </si>
  <si>
    <t>ACOMPTE TANOH - 03/19</t>
  </si>
  <si>
    <t>VENTES AU COMPTANT DU 20/03/2019</t>
  </si>
  <si>
    <t>ACOMPTE MOCKE JUDICAEL - 03/19</t>
  </si>
  <si>
    <t>VENTES AU COMPTANT DU 19/03/2019</t>
  </si>
  <si>
    <t>PRÊT TANOH</t>
  </si>
  <si>
    <t>FACTURE E.I.E.E - FOURNITURES DE BUREAU</t>
  </si>
  <si>
    <t>VIDANGE &amp; ENTRETIEN- MOTO</t>
  </si>
  <si>
    <t>VENTES AU COMPTANT DU 18/03/2019</t>
  </si>
  <si>
    <t>ACOMPTE ARTHUR DJEBE - 03/19</t>
  </si>
  <si>
    <t>FRAIS DE TAXIS - DU 11 AU 16/03/2019</t>
  </si>
  <si>
    <t>VENTES AU COMPTANT DU 15/03/2019</t>
  </si>
  <si>
    <t>REGLEMENT RETENNE A LA SOURCE</t>
  </si>
  <si>
    <t>VENTES AU COMPTANT DU 14/03/2019</t>
  </si>
  <si>
    <t>REPORT MARS 2019</t>
  </si>
  <si>
    <t>VENTES AU COMPTANT DU 01/04/2019</t>
  </si>
  <si>
    <t>FACTURE E.I.E.E - AVANCE</t>
  </si>
  <si>
    <t>DROIT DE DOUANE - UPS</t>
  </si>
  <si>
    <t>VENTES AU COMPTANT DU 02/04/2019</t>
  </si>
  <si>
    <t>RESTAURATION CLIENT - 2I IVOIRE</t>
  </si>
  <si>
    <t>VENTES AU VENTES DU 03/04/2019</t>
  </si>
  <si>
    <t>RELIURES - BILANS</t>
  </si>
  <si>
    <t>VENTES AU COMPTANT DU 04/04/2019</t>
  </si>
  <si>
    <t>FRAIS DE TAXIS - DU 01 AU 06/04/2019</t>
  </si>
  <si>
    <t>RELIURE</t>
  </si>
  <si>
    <t>ENTRETIEN BUREAU - 03/19</t>
  </si>
  <si>
    <t>VENTES AU COMPTANT DU 08/04/2019</t>
  </si>
  <si>
    <t xml:space="preserve">RELIURES </t>
  </si>
  <si>
    <t>VIDANGE - MOTO</t>
  </si>
  <si>
    <t>VENTES AU COMPTANT DU 09/04/2019</t>
  </si>
  <si>
    <t>ACOMPTE SENOU BI - 04/19</t>
  </si>
  <si>
    <t>FRAIS IMPAYE CHEQUE SCTII</t>
  </si>
  <si>
    <t>VENTES AU COMPTANT DU 10/04/2019</t>
  </si>
  <si>
    <t>ACHAT - BUREAU</t>
  </si>
  <si>
    <t>VENTES AU COMPTANT DU 11/04/2019</t>
  </si>
  <si>
    <t>VENTES AU COMPTANT DU 12/04/2019</t>
  </si>
  <si>
    <t>FRAIS DE TAXIS - DU 08 AU 13/04/2019</t>
  </si>
  <si>
    <t>LAVAGE</t>
  </si>
  <si>
    <t>ACHATS - DMD</t>
  </si>
  <si>
    <t>VENTES AU COMPTANT DU 15/04/2019</t>
  </si>
  <si>
    <t>ACOMPTE - MOCKE JUDICAEL - 04/19</t>
  </si>
  <si>
    <t>ACOMPTE - KONAN GASTON</t>
  </si>
  <si>
    <t>VENTES AU COMPTANT DU 16/04/2019</t>
  </si>
  <si>
    <t>FACTURE - UTEXI-CI</t>
  </si>
  <si>
    <t>VENTES AU COMPTANT DU 17/04/2019</t>
  </si>
  <si>
    <t>VENTES AU COMPTANT DU 18/04/2019</t>
  </si>
  <si>
    <t>ACOMPTE TANOH - 04/19</t>
  </si>
  <si>
    <t>FRAIS DE TAXIS - DU 15 AU 20/04/2019</t>
  </si>
  <si>
    <t>LAVAGE - AUTO</t>
  </si>
  <si>
    <t xml:space="preserve">CCI FRANCE - CI </t>
  </si>
  <si>
    <t>FACTURE - MOOV</t>
  </si>
  <si>
    <t>VENTES AU COMPTANT DU 23/04/2019</t>
  </si>
  <si>
    <t>PRÊT GUEH DROH</t>
  </si>
  <si>
    <t>VENTES AU COMPTANT DU 24/04/2019</t>
  </si>
  <si>
    <t>VENTES AU COMPTANT DU 25/04/2019</t>
  </si>
  <si>
    <t>FRAIS DE TAXIS - DU 23 AU 27/04/2019</t>
  </si>
  <si>
    <t>REMBOURSEMENT PRÊT - GUE DROH</t>
  </si>
  <si>
    <t>VENTES AU COMPTANT DU 29/04/2019</t>
  </si>
  <si>
    <t>CARBURANT - MOTO</t>
  </si>
  <si>
    <t>FACTURE SANAGA CREATION</t>
  </si>
  <si>
    <t>SALAIRE ARTHUR - 04/19</t>
  </si>
  <si>
    <t>FRAIS DE TAXIS - 29 AU 30/04/2019</t>
  </si>
  <si>
    <t>REPORT AVRIL 2019</t>
  </si>
  <si>
    <t>CARTES ORANGE - 05/19</t>
  </si>
  <si>
    <t>REVISION TECHNIQUE - MOTO</t>
  </si>
  <si>
    <t>SALAIRE MARTHE - 04/19</t>
  </si>
  <si>
    <t>FRAIS DE TAXIS - DU 02 AU 04/05/2019</t>
  </si>
  <si>
    <t>VENTES AU COMPTANT DU 03/05/2019</t>
  </si>
  <si>
    <t>VENTES AU COMPTANT DU 06/05/2019</t>
  </si>
  <si>
    <t>FACTURE - GAS</t>
  </si>
  <si>
    <t>VENTES AU COMPTANT DU 07/05/2019</t>
  </si>
  <si>
    <t>REPARARTION - MOTO</t>
  </si>
  <si>
    <t>VENTES AU COMPTANT DU 08/05/2019</t>
  </si>
  <si>
    <t>VENTES AU COMPTANT DU 09/05/2019</t>
  </si>
  <si>
    <t>ACOMPTE SENOU BI - 05/19</t>
  </si>
  <si>
    <t>ACOMPTE GUE DROH - 05/19</t>
  </si>
  <si>
    <t>FRAIS DE TAXIS - DU 06 AU 11/05/2019</t>
  </si>
  <si>
    <t>VENTES AU COMPTANT DU 10/05/2019</t>
  </si>
  <si>
    <t>VENTE AU COMPTANT DU 11/05/2019</t>
  </si>
  <si>
    <t>ACOMPTE MOCKE JUDICAEL - 05/19</t>
  </si>
  <si>
    <t xml:space="preserve"> ACOMPTE KONAN GASTON - 05/19</t>
  </si>
  <si>
    <t>VENTES AU COMPTANT DU 13/05/2019</t>
  </si>
  <si>
    <t>ACHAT - BERNABE CI</t>
  </si>
  <si>
    <t>VENTES AU COMPTANT DU 14/05/2019</t>
  </si>
  <si>
    <t>ENTRETIEN SPLIT - DYK SERVICES</t>
  </si>
  <si>
    <t>LAISSEZ-PASSER - PAA</t>
  </si>
  <si>
    <t>ACHAT TABLEAU - PAPIGRAPH</t>
  </si>
  <si>
    <t>VENTES AU COMPTANT DU 16/05/2019</t>
  </si>
  <si>
    <t>ACHAT CLASSEURS - E.I.E.E</t>
  </si>
  <si>
    <t>VENTES AU COMPTANT DU 17/05/2019</t>
  </si>
  <si>
    <t>FRAIS DE TAXIS - DU 13 AU 18/05/2019</t>
  </si>
  <si>
    <t>VENTES AU COMPTANT DU 18/05/2019</t>
  </si>
  <si>
    <t>VENTES AU COMPTANT DU 21/05/2019</t>
  </si>
  <si>
    <t>TOTAL Card - MOTO</t>
  </si>
  <si>
    <t>VENTES AU COMPTANT DU 22/05/2019</t>
  </si>
  <si>
    <t>VENTES AU COMPTANT DU 23/05/2019</t>
  </si>
  <si>
    <t>FACTURE INTERNET - 05/19</t>
  </si>
  <si>
    <t>FACTURE MOOV - 05/19</t>
  </si>
  <si>
    <t>FRAIS DE TAXIS - 20 AU 25/05/2019</t>
  </si>
  <si>
    <t>FACTURE EMI SARL+FRAIS CHEQUE IMPAYE</t>
  </si>
  <si>
    <t>VENTES AU COMPTANT DU 24/05/2019</t>
  </si>
  <si>
    <t>VENTES AU VENTES DU 27/05/2019</t>
  </si>
  <si>
    <t>REPARARTION - AUTO</t>
  </si>
  <si>
    <t>PRÊT GUEH DROH - 05/19</t>
  </si>
  <si>
    <t>VENTES AU COMPTANT DU 28/05/2019</t>
  </si>
  <si>
    <t>VENTES AU COMPTANT DU 29/05/2019</t>
  </si>
  <si>
    <t>SALAIRE MARTHE - 05/19</t>
  </si>
  <si>
    <t>REGLEMENT FACTURE  - CMID</t>
  </si>
  <si>
    <t xml:space="preserve">ACHATS SOCOCE - RAMADAN </t>
  </si>
  <si>
    <t>VENTES AU COMPTANT DU 31/05/2019</t>
  </si>
  <si>
    <t>FRAIS DE TAXIS - DU 27 AU 31/05/2019</t>
  </si>
  <si>
    <t>ACHAT SYSCOA 2019</t>
  </si>
  <si>
    <t>FACTURE MEDIAROCH</t>
  </si>
  <si>
    <t>VENTES AU COMPTANT DU 03/06/2019</t>
  </si>
  <si>
    <t>CARTES ORANGE - 06/19</t>
  </si>
  <si>
    <t>ACHAT TONER - 06/19</t>
  </si>
  <si>
    <t>ENTRETIEN BUREAU - 05/19</t>
  </si>
  <si>
    <t>VENTES AU COMPTANT DU 05/06/2019</t>
  </si>
  <si>
    <t>ENTRETIEN - JIMNY</t>
  </si>
  <si>
    <t>VENTES AU COMPTANT DU 06/06/2019</t>
  </si>
  <si>
    <t>FACTURE E.I.E.E - 05/19</t>
  </si>
  <si>
    <t>CONFECTION FLAYERS - OPHIR GRAPHIC</t>
  </si>
  <si>
    <t>FRAIS DE TAXIS - DU 03 AU 08/06/2019</t>
  </si>
  <si>
    <t>RECHARGES - MOOV</t>
  </si>
  <si>
    <t>RELIURE - FILTISAC</t>
  </si>
  <si>
    <t>ACOMPTE SENOU BI - 06/19</t>
  </si>
  <si>
    <t>VENTES AU COMPTANT DU 11/06/2019</t>
  </si>
  <si>
    <t>COCKTAIL CFACI</t>
  </si>
  <si>
    <t>AVANCE SUR SALAIRE MOCKE - 06/19</t>
  </si>
  <si>
    <t>VENTE AU COMPTANT DU 12/06/2019</t>
  </si>
  <si>
    <t>ACOMPTE KONAN GASTON - 06/19</t>
  </si>
  <si>
    <t>PRËT ARTHUR - 06/19</t>
  </si>
  <si>
    <t>VENTE AU COMPTANT DU 13/06/2019</t>
  </si>
  <si>
    <t>VENTES AU COMPTANT DU 14/06/2019</t>
  </si>
  <si>
    <t>FRAIS DE TAXIS  - DU 10 AU 15/06/2019</t>
  </si>
  <si>
    <t>VENTES AU COMPTANT DU 17/06/2019</t>
  </si>
  <si>
    <t>FACTURE IPI - 06/19</t>
  </si>
  <si>
    <t>VIDANGE MOTOS</t>
  </si>
  <si>
    <t>VENTES AU COMPTANT DU 18/06/2019</t>
  </si>
  <si>
    <t>AVANCE SUR SALAIRE PIERRE-LOUIS - 06/19</t>
  </si>
  <si>
    <t>VENTES AU COMPTANT DU 19/06/2019</t>
  </si>
  <si>
    <t>REABONNEMENT CANAL</t>
  </si>
  <si>
    <t>ACHATS DE SERVICES - ASTA INDUSTRIE</t>
  </si>
  <si>
    <t>EQUILIBRAGE ET PARALLELISME - AUTO</t>
  </si>
  <si>
    <t>VENTES AU COMPTANT DU 21/06/2019</t>
  </si>
  <si>
    <t>FRAIS DE TAXIS - DU 17 AU 22/06/2019</t>
  </si>
  <si>
    <t>INTERNATIONAL VOYAGES</t>
  </si>
  <si>
    <t>VENTES AU COMPTANT DU 24/06/2019</t>
  </si>
  <si>
    <t>PROSPECTION BONOUA - RESTAURATION COMMERCIAUX</t>
  </si>
  <si>
    <t>ACHATS HUILE DE FREIN - AUTO</t>
  </si>
  <si>
    <t>VENTES AU COMPTANT DU 25/06/2019</t>
  </si>
  <si>
    <t>FACTURE MOOV - 07/19</t>
  </si>
  <si>
    <t>ACHATS - CMID</t>
  </si>
  <si>
    <t>VENTES AU COMPTANT DU 26/06/2019</t>
  </si>
  <si>
    <t>VENTE AU COMPTATANT DU 27/06/2019</t>
  </si>
  <si>
    <t>INTERNET - 06/19</t>
  </si>
  <si>
    <t>CARTES ORANGE - 07/19</t>
  </si>
  <si>
    <t>VENTES AU COMPTANT DU28/06/2019</t>
  </si>
  <si>
    <t>FRAIS DE TAXIS - DU 24  AU 29/06/2019</t>
  </si>
  <si>
    <t>REPORT MAI 2019</t>
  </si>
  <si>
    <t>VENTES AU COMPTANT DU 01/07/2019</t>
  </si>
  <si>
    <t>FACTURE - E.I.E.E</t>
  </si>
  <si>
    <t>FACTURE - FORTEX</t>
  </si>
  <si>
    <t>VENTES AU COMPTANT DU 02/07/2019</t>
  </si>
  <si>
    <t>REMBOURSEMENT PRÊT - TANOH</t>
  </si>
  <si>
    <t>TRAVAUX MAGASIN</t>
  </si>
  <si>
    <t>VENTES AU COMPTANT DU 03/07/2019</t>
  </si>
  <si>
    <t>VENTES AU COMPTANT DU 04/07/2019</t>
  </si>
  <si>
    <t>VENTES AU COMPTANT DU 05/07/2019</t>
  </si>
  <si>
    <t>FRAIS DE TAXIS - DU 01 AU 06/07/2019</t>
  </si>
  <si>
    <t>VENTES AU COMPTANT DU 08/07/2019</t>
  </si>
  <si>
    <t>FACTURE - N.IFMI-CI DU 28/06/2019</t>
  </si>
  <si>
    <t>FACTURE - MIIS DU 08/07/2019</t>
  </si>
  <si>
    <t>VENTES AU COMPTANT DU 09/07/2019</t>
  </si>
  <si>
    <t>ACOMPTE GUE DROH - 07/19</t>
  </si>
  <si>
    <t>ACOMPTE KONAN GASTON - 07/19</t>
  </si>
  <si>
    <t>VENTES AU COMPTANT DU 10/07/2019</t>
  </si>
  <si>
    <t>VENTES AU COMPTANT DU 11/07/2019</t>
  </si>
  <si>
    <t>VENTES AU COMPTANT DU 12/07/2019</t>
  </si>
  <si>
    <t>FRAIS DE TAXIS - DU 08 AU 13/07/2019</t>
  </si>
  <si>
    <t>ACOMPTE SENOU BI - 07/19</t>
  </si>
  <si>
    <t>VENTES AU COMPTANT DU 15/07/2019</t>
  </si>
  <si>
    <t>FACTURE  - ADEAL</t>
  </si>
  <si>
    <t>FACTURE - PCM</t>
  </si>
  <si>
    <t>VENTES AU COMPTANT DU 16/07/2019</t>
  </si>
  <si>
    <t>VENTES AU COMPTANT DU 17/07/2019</t>
  </si>
  <si>
    <t>FACTURE MOOV - 08/19</t>
  </si>
  <si>
    <t>VENTES AU COMPTANT DE 18/07/2019</t>
  </si>
  <si>
    <t>LAISSEZ-PASSER - IRES</t>
  </si>
  <si>
    <t>VENTES AU COMPTANT DU 19/07/2019</t>
  </si>
  <si>
    <t>FRAIS DE MISSION</t>
  </si>
  <si>
    <t>FRAIS DE TAXIS - DU 15 AU 20/07/2019</t>
  </si>
  <si>
    <t xml:space="preserve">ACHATS SOCOCE -07/19 </t>
  </si>
  <si>
    <t>VENTES AU COMPTANT DU 22/07/2019</t>
  </si>
  <si>
    <t>PRËT TANOH</t>
  </si>
  <si>
    <t>VENTES AU COMPTANT DU 23/07/2019</t>
  </si>
  <si>
    <t>VENTES AU COMPTANT DU 24/07/2019</t>
  </si>
  <si>
    <t>FACTURE SOTACI</t>
  </si>
  <si>
    <t>VENTES AU COMPTANT DU 25/07/2019</t>
  </si>
  <si>
    <t>REPORT JUIN 2019</t>
  </si>
  <si>
    <t>ECART</t>
  </si>
  <si>
    <t>BL AU CPT</t>
  </si>
  <si>
    <t>CUMUL FRAIS DE TAXIS PROVISOIRE</t>
  </si>
  <si>
    <t>AVANCE TANOH</t>
  </si>
</sst>
</file>

<file path=xl/styles.xml><?xml version="1.0" encoding="utf-8"?>
<styleSheet xmlns="http://schemas.openxmlformats.org/spreadsheetml/2006/main">
  <numFmts count="1">
    <numFmt numFmtId="164" formatCode="_-* #,##0\ _C_F_A_-;\-* #,##0\ _C_F_A_-;_-* &quot;-&quot;\ _C_F_A_-;_-@_-"/>
  </numFmts>
  <fonts count="5"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" fontId="0" fillId="0" borderId="2" xfId="0" applyNumberForma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164" fontId="0" fillId="0" borderId="2" xfId="0" applyNumberFormat="1" applyFill="1" applyBorder="1" applyAlignment="1">
      <alignment horizontal="center" vertical="center"/>
    </xf>
    <xf numFmtId="16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164" fontId="0" fillId="0" borderId="3" xfId="0" applyNumberFormat="1" applyBorder="1" applyAlignment="1">
      <alignment horizontal="center" vertical="center"/>
    </xf>
    <xf numFmtId="16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4" borderId="2" xfId="0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right" vertical="center"/>
    </xf>
    <xf numFmtId="164" fontId="0" fillId="0" borderId="3" xfId="0" applyNumberForma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4" xfId="0" applyFill="1" applyBorder="1" applyAlignment="1">
      <alignment horizontal="left"/>
    </xf>
    <xf numFmtId="164" fontId="0" fillId="0" borderId="4" xfId="0" applyNumberFormat="1" applyFill="1" applyBorder="1" applyAlignment="1">
      <alignment horizontal="right" vertical="center"/>
    </xf>
    <xf numFmtId="0" fontId="0" fillId="0" borderId="0" xfId="0" applyFill="1"/>
    <xf numFmtId="164" fontId="0" fillId="0" borderId="3" xfId="0" applyNumberFormat="1" applyFill="1" applyBorder="1" applyAlignment="1">
      <alignment horizontal="right" vertical="center"/>
    </xf>
    <xf numFmtId="0" fontId="0" fillId="4" borderId="2" xfId="0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/>
    </xf>
    <xf numFmtId="0" fontId="1" fillId="0" borderId="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0" xfId="0" applyNumberFormat="1"/>
    <xf numFmtId="0" fontId="0" fillId="0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16" fontId="0" fillId="0" borderId="0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right" vertical="center"/>
    </xf>
    <xf numFmtId="3" fontId="2" fillId="0" borderId="0" xfId="0" applyNumberFormat="1" applyFont="1"/>
    <xf numFmtId="0" fontId="0" fillId="0" borderId="0" xfId="0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0" borderId="0" xfId="0" applyNumberFormat="1"/>
    <xf numFmtId="0" fontId="0" fillId="0" borderId="0" xfId="0" applyFill="1" applyAlignment="1">
      <alignment horizontal="left" vertical="center"/>
    </xf>
    <xf numFmtId="16" fontId="0" fillId="0" borderId="2" xfId="0" applyNumberFormat="1" applyFill="1" applyBorder="1" applyAlignment="1">
      <alignment horizontal="center"/>
    </xf>
    <xf numFmtId="16" fontId="0" fillId="0" borderId="2" xfId="0" applyNumberFormat="1" applyFill="1" applyBorder="1"/>
    <xf numFmtId="16" fontId="0" fillId="0" borderId="0" xfId="0" applyNumberFormat="1"/>
    <xf numFmtId="16" fontId="0" fillId="0" borderId="2" xfId="0" applyNumberFormat="1" applyBorder="1" applyAlignment="1">
      <alignment horizontal="center"/>
    </xf>
    <xf numFmtId="3" fontId="0" fillId="0" borderId="2" xfId="0" applyNumberFormat="1" applyBorder="1"/>
    <xf numFmtId="16" fontId="0" fillId="0" borderId="0" xfId="0" applyNumberFormat="1" applyFill="1" applyBorder="1"/>
    <xf numFmtId="0" fontId="0" fillId="0" borderId="0" xfId="0" applyFill="1" applyBorder="1" applyAlignment="1">
      <alignment horizontal="left" vertical="center"/>
    </xf>
    <xf numFmtId="164" fontId="0" fillId="0" borderId="2" xfId="0" applyNumberFormat="1" applyBorder="1"/>
    <xf numFmtId="0" fontId="0" fillId="6" borderId="2" xfId="0" applyFill="1" applyBorder="1"/>
    <xf numFmtId="164" fontId="0" fillId="0" borderId="2" xfId="0" applyNumberFormat="1" applyFill="1" applyBorder="1" applyAlignment="1">
      <alignment horizontal="right"/>
    </xf>
    <xf numFmtId="164" fontId="0" fillId="0" borderId="2" xfId="0" applyNumberFormat="1" applyBorder="1" applyAlignment="1"/>
    <xf numFmtId="0" fontId="1" fillId="7" borderId="2" xfId="0" applyFont="1" applyFill="1" applyBorder="1" applyAlignment="1">
      <alignment horizontal="center" vertical="center"/>
    </xf>
    <xf numFmtId="164" fontId="0" fillId="0" borderId="3" xfId="0" applyNumberFormat="1" applyBorder="1"/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4" borderId="2" xfId="0" applyFill="1" applyBorder="1" applyAlignment="1">
      <alignment horizontal="right" vertical="center"/>
    </xf>
    <xf numFmtId="3" fontId="0" fillId="0" borderId="0" xfId="0" applyNumberFormat="1" applyBorder="1"/>
    <xf numFmtId="3" fontId="0" fillId="0" borderId="2" xfId="0" applyNumberFormat="1" applyFill="1" applyBorder="1"/>
    <xf numFmtId="3" fontId="0" fillId="0" borderId="3" xfId="0" applyNumberFormat="1" applyBorder="1"/>
    <xf numFmtId="16" fontId="0" fillId="4" borderId="2" xfId="0" applyNumberForma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4" borderId="2" xfId="0" applyFill="1" applyBorder="1"/>
    <xf numFmtId="3" fontId="0" fillId="4" borderId="2" xfId="0" applyNumberFormat="1" applyFill="1" applyBorder="1"/>
    <xf numFmtId="0" fontId="2" fillId="0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" xfId="0" applyBorder="1" applyAlignment="1"/>
    <xf numFmtId="0" fontId="2" fillId="0" borderId="0" xfId="0" applyFont="1" applyFill="1" applyBorder="1" applyAlignment="1">
      <alignment horizontal="left" vertical="center"/>
    </xf>
    <xf numFmtId="164" fontId="0" fillId="0" borderId="0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Fill="1" applyBorder="1" applyAlignment="1">
      <alignment horizontal="left" vertical="center"/>
    </xf>
    <xf numFmtId="0" fontId="1" fillId="8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64" fontId="0" fillId="9" borderId="2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4" fontId="0" fillId="0" borderId="0" xfId="0" applyNumberFormat="1" applyFill="1" applyBorder="1"/>
    <xf numFmtId="164" fontId="0" fillId="2" borderId="2" xfId="0" applyNumberFormat="1" applyFill="1" applyBorder="1" applyAlignment="1">
      <alignment horizontal="center" vertical="center"/>
    </xf>
    <xf numFmtId="0" fontId="4" fillId="9" borderId="5" xfId="0" applyFont="1" applyFill="1" applyBorder="1"/>
    <xf numFmtId="164" fontId="4" fillId="0" borderId="6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83"/>
  <sheetViews>
    <sheetView topLeftCell="A73" zoomScaleNormal="100" workbookViewId="0">
      <selection activeCell="E3" sqref="E3"/>
    </sheetView>
  </sheetViews>
  <sheetFormatPr baseColWidth="10" defaultRowHeight="15"/>
  <cols>
    <col min="2" max="2" width="8.85546875" customWidth="1"/>
    <col min="3" max="3" width="14.42578125" customWidth="1"/>
    <col min="4" max="4" width="48.140625" customWidth="1"/>
    <col min="5" max="5" width="18.5703125" style="5" customWidth="1"/>
    <col min="6" max="6" width="14.5703125" style="5" customWidth="1"/>
    <col min="8" max="8" width="14.140625" bestFit="1" customWidth="1"/>
    <col min="9" max="9" width="23.5703125" bestFit="1" customWidth="1"/>
    <col min="10" max="10" width="14.140625" bestFit="1" customWidth="1"/>
  </cols>
  <sheetData>
    <row r="2" spans="2:8">
      <c r="B2" s="2" t="s">
        <v>0</v>
      </c>
      <c r="C2" s="3" t="s">
        <v>1</v>
      </c>
      <c r="D2" s="2" t="s">
        <v>2</v>
      </c>
      <c r="E2" s="4" t="s">
        <v>3</v>
      </c>
      <c r="F2" s="4" t="s">
        <v>4</v>
      </c>
      <c r="G2" s="5"/>
      <c r="H2" s="5"/>
    </row>
    <row r="3" spans="2:8">
      <c r="B3" s="6">
        <v>43466</v>
      </c>
      <c r="C3" s="7"/>
      <c r="D3" s="8" t="s">
        <v>312</v>
      </c>
      <c r="E3" s="17">
        <v>1913954</v>
      </c>
      <c r="F3" s="9"/>
      <c r="G3" s="1"/>
      <c r="H3" s="1"/>
    </row>
    <row r="4" spans="2:8" ht="15.75">
      <c r="B4" s="10">
        <v>43467</v>
      </c>
      <c r="C4" s="11">
        <v>1901001</v>
      </c>
      <c r="D4" s="16" t="s">
        <v>16</v>
      </c>
      <c r="E4" s="13"/>
      <c r="F4" s="13">
        <v>2000</v>
      </c>
      <c r="H4" s="1"/>
    </row>
    <row r="5" spans="2:8" ht="15.75">
      <c r="B5" s="14">
        <v>43468</v>
      </c>
      <c r="C5" s="15">
        <v>1901002</v>
      </c>
      <c r="D5" s="12" t="s">
        <v>313</v>
      </c>
      <c r="E5" s="17"/>
      <c r="F5" s="17">
        <v>20000</v>
      </c>
      <c r="H5" s="1"/>
    </row>
    <row r="6" spans="2:8" ht="15.75">
      <c r="B6" s="14">
        <v>43468</v>
      </c>
      <c r="C6" s="11">
        <v>1901003</v>
      </c>
      <c r="D6" s="12" t="s">
        <v>314</v>
      </c>
      <c r="E6" s="17"/>
      <c r="F6" s="17">
        <v>2000</v>
      </c>
    </row>
    <row r="7" spans="2:8" ht="15.75">
      <c r="B7" s="14">
        <v>43468</v>
      </c>
      <c r="C7" s="15">
        <v>1901004</v>
      </c>
      <c r="D7" s="16" t="s">
        <v>7</v>
      </c>
      <c r="E7" s="17"/>
      <c r="F7" s="17">
        <v>120000</v>
      </c>
    </row>
    <row r="8" spans="2:8" ht="15.75">
      <c r="B8" s="14">
        <v>43468</v>
      </c>
      <c r="C8" s="11">
        <v>1901005</v>
      </c>
      <c r="D8" s="16" t="s">
        <v>8</v>
      </c>
      <c r="E8" s="17">
        <f>1505+6708+7274+23889+19257</f>
        <v>58633</v>
      </c>
      <c r="F8" s="17"/>
    </row>
    <row r="9" spans="2:8" ht="15.75">
      <c r="B9" s="14">
        <v>43469</v>
      </c>
      <c r="C9" s="15">
        <v>1901006</v>
      </c>
      <c r="D9" s="16" t="s">
        <v>22</v>
      </c>
      <c r="E9" s="17"/>
      <c r="F9" s="17">
        <v>2500</v>
      </c>
    </row>
    <row r="10" spans="2:8" ht="15.75">
      <c r="B10" s="14">
        <v>43469</v>
      </c>
      <c r="C10" s="11">
        <v>1901007</v>
      </c>
      <c r="D10" s="16" t="s">
        <v>315</v>
      </c>
      <c r="E10" s="17"/>
      <c r="F10" s="17">
        <v>10130</v>
      </c>
    </row>
    <row r="11" spans="2:8" ht="15.75">
      <c r="B11" s="14">
        <v>43469</v>
      </c>
      <c r="C11" s="15">
        <v>1901008</v>
      </c>
      <c r="D11" s="16" t="s">
        <v>15</v>
      </c>
      <c r="E11" s="17">
        <f>25824+30780</f>
        <v>56604</v>
      </c>
      <c r="F11" s="17"/>
    </row>
    <row r="12" spans="2:8" ht="15.75">
      <c r="B12" s="14">
        <v>43470</v>
      </c>
      <c r="C12" s="11">
        <v>1901009</v>
      </c>
      <c r="D12" s="16" t="s">
        <v>9</v>
      </c>
      <c r="E12" s="17">
        <f>46828+19660+6000</f>
        <v>72488</v>
      </c>
      <c r="F12" s="17"/>
    </row>
    <row r="13" spans="2:8" ht="15.75">
      <c r="B13" s="14">
        <v>43470</v>
      </c>
      <c r="C13" s="15">
        <v>1901010</v>
      </c>
      <c r="D13" s="12" t="s">
        <v>316</v>
      </c>
      <c r="E13" s="17"/>
      <c r="F13" s="17">
        <v>11000</v>
      </c>
    </row>
    <row r="14" spans="2:8" ht="15.75">
      <c r="B14" s="14">
        <v>43472</v>
      </c>
      <c r="C14" s="11">
        <v>1901011</v>
      </c>
      <c r="D14" s="16" t="s">
        <v>317</v>
      </c>
      <c r="E14" s="17"/>
      <c r="F14" s="17">
        <v>40000</v>
      </c>
    </row>
    <row r="15" spans="2:8" ht="15.75">
      <c r="B15" s="14">
        <v>43472</v>
      </c>
      <c r="C15" s="15">
        <v>1901012</v>
      </c>
      <c r="D15" s="16" t="s">
        <v>318</v>
      </c>
      <c r="E15" s="17"/>
      <c r="F15" s="17">
        <v>155100</v>
      </c>
    </row>
    <row r="16" spans="2:8" ht="15.75">
      <c r="B16" s="14">
        <v>43472</v>
      </c>
      <c r="C16" s="11">
        <v>1901013</v>
      </c>
      <c r="D16" s="12" t="s">
        <v>313</v>
      </c>
      <c r="E16" s="17"/>
      <c r="F16" s="17">
        <v>20000</v>
      </c>
    </row>
    <row r="17" spans="2:8" ht="15.75">
      <c r="B17" s="14">
        <v>43472</v>
      </c>
      <c r="C17" s="15">
        <v>1901014</v>
      </c>
      <c r="D17" s="12" t="s">
        <v>319</v>
      </c>
      <c r="E17" s="17"/>
      <c r="F17" s="17">
        <v>377000</v>
      </c>
    </row>
    <row r="18" spans="2:8" ht="15.75">
      <c r="B18" s="14">
        <v>43473</v>
      </c>
      <c r="C18" s="11">
        <v>1901015</v>
      </c>
      <c r="D18" s="12" t="s">
        <v>17</v>
      </c>
      <c r="E18" s="17">
        <f>24721+23995+4248+3983+1534</f>
        <v>58481</v>
      </c>
      <c r="F18" s="17"/>
    </row>
    <row r="19" spans="2:8" ht="15.75">
      <c r="B19" s="14">
        <v>43474</v>
      </c>
      <c r="C19" s="15">
        <v>1901016</v>
      </c>
      <c r="D19" s="12" t="s">
        <v>320</v>
      </c>
      <c r="E19" s="17"/>
      <c r="F19" s="17">
        <v>150000</v>
      </c>
    </row>
    <row r="20" spans="2:8" ht="15.75">
      <c r="B20" s="14">
        <v>43474</v>
      </c>
      <c r="C20" s="11">
        <v>1901017</v>
      </c>
      <c r="D20" s="16" t="s">
        <v>321</v>
      </c>
      <c r="E20" s="17"/>
      <c r="F20" s="17">
        <v>1500</v>
      </c>
    </row>
    <row r="21" spans="2:8" ht="15.75">
      <c r="B21" s="14">
        <v>43474</v>
      </c>
      <c r="C21" s="15">
        <v>1901018</v>
      </c>
      <c r="D21" s="12" t="s">
        <v>10</v>
      </c>
      <c r="E21" s="17">
        <f>4037+7994+20261+47300+2478+2820</f>
        <v>84890</v>
      </c>
      <c r="F21" s="17"/>
    </row>
    <row r="22" spans="2:8" ht="15.75">
      <c r="B22" s="14">
        <v>43475</v>
      </c>
      <c r="C22" s="11">
        <v>1901019</v>
      </c>
      <c r="D22" s="16" t="s">
        <v>11</v>
      </c>
      <c r="E22" s="17">
        <f>15526+8596+90269+41725+5900+128648+10720+6177</f>
        <v>307561</v>
      </c>
      <c r="F22" s="17"/>
    </row>
    <row r="23" spans="2:8" ht="15.75">
      <c r="B23" s="14">
        <v>43476</v>
      </c>
      <c r="C23" s="15">
        <v>1901020</v>
      </c>
      <c r="D23" s="16" t="s">
        <v>5</v>
      </c>
      <c r="E23" s="17"/>
      <c r="F23" s="17">
        <v>20000</v>
      </c>
    </row>
    <row r="24" spans="2:8" ht="15.75">
      <c r="B24" s="14">
        <v>43476</v>
      </c>
      <c r="C24" s="11">
        <v>1901021</v>
      </c>
      <c r="D24" s="16" t="s">
        <v>322</v>
      </c>
      <c r="E24" s="17"/>
      <c r="F24" s="17">
        <v>170000</v>
      </c>
      <c r="H24" s="1"/>
    </row>
    <row r="25" spans="2:8" ht="15.75">
      <c r="B25" s="14">
        <v>43476</v>
      </c>
      <c r="C25" s="15">
        <v>1901022</v>
      </c>
      <c r="D25" s="16" t="s">
        <v>12</v>
      </c>
      <c r="E25" s="17">
        <f>109628+8626</f>
        <v>118254</v>
      </c>
      <c r="F25" s="17"/>
      <c r="H25" s="1"/>
    </row>
    <row r="26" spans="2:8" ht="15.75">
      <c r="B26" s="14">
        <v>43476</v>
      </c>
      <c r="C26" s="11">
        <v>1901023</v>
      </c>
      <c r="D26" s="16" t="s">
        <v>323</v>
      </c>
      <c r="E26" s="17"/>
      <c r="F26" s="17">
        <v>85000</v>
      </c>
      <c r="H26" s="1"/>
    </row>
    <row r="27" spans="2:8" ht="15.75">
      <c r="B27" s="14">
        <v>43477</v>
      </c>
      <c r="C27" s="15">
        <v>1901024</v>
      </c>
      <c r="D27" s="16" t="s">
        <v>324</v>
      </c>
      <c r="E27" s="17"/>
      <c r="F27" s="17">
        <v>16500</v>
      </c>
      <c r="H27" s="1"/>
    </row>
    <row r="28" spans="2:8" ht="15.75">
      <c r="B28" s="14">
        <v>43479</v>
      </c>
      <c r="C28" s="11">
        <v>1901025</v>
      </c>
      <c r="D28" s="16" t="s">
        <v>325</v>
      </c>
      <c r="E28" s="17"/>
      <c r="F28" s="17">
        <v>350000</v>
      </c>
      <c r="H28" s="1"/>
    </row>
    <row r="29" spans="2:8" ht="15.75">
      <c r="B29" s="14">
        <v>43479</v>
      </c>
      <c r="C29" s="15">
        <v>1901026</v>
      </c>
      <c r="D29" s="12" t="s">
        <v>326</v>
      </c>
      <c r="E29" s="17"/>
      <c r="F29" s="17">
        <v>62700</v>
      </c>
      <c r="H29" s="1"/>
    </row>
    <row r="30" spans="2:8" ht="15.75">
      <c r="B30" s="14">
        <v>43479</v>
      </c>
      <c r="C30" s="11">
        <v>1901027</v>
      </c>
      <c r="D30" s="16" t="s">
        <v>35</v>
      </c>
      <c r="E30" s="17"/>
      <c r="F30" s="17">
        <v>10000</v>
      </c>
      <c r="H30" s="1"/>
    </row>
    <row r="31" spans="2:8" ht="15.75">
      <c r="B31" s="14">
        <v>43479</v>
      </c>
      <c r="C31" s="15">
        <v>1901028</v>
      </c>
      <c r="D31" s="12" t="s">
        <v>327</v>
      </c>
      <c r="E31" s="17">
        <f>6236+5517+5504+6368+17092+7529</f>
        <v>48246</v>
      </c>
      <c r="F31" s="17"/>
      <c r="H31" s="1"/>
    </row>
    <row r="32" spans="2:8" ht="15.75">
      <c r="B32" s="14">
        <v>43480</v>
      </c>
      <c r="C32" s="11">
        <v>1901029</v>
      </c>
      <c r="D32" s="16" t="s">
        <v>328</v>
      </c>
      <c r="E32" s="17"/>
      <c r="F32" s="17">
        <v>140000</v>
      </c>
      <c r="H32" s="1"/>
    </row>
    <row r="33" spans="2:8" ht="15.75">
      <c r="B33" s="14">
        <v>43480</v>
      </c>
      <c r="C33" s="15">
        <v>1901030</v>
      </c>
      <c r="D33" s="12" t="s">
        <v>315</v>
      </c>
      <c r="E33" s="17"/>
      <c r="F33" s="17">
        <v>34837</v>
      </c>
      <c r="H33" s="1"/>
    </row>
    <row r="34" spans="2:8" ht="15.75">
      <c r="B34" s="14">
        <v>43480</v>
      </c>
      <c r="C34" s="11">
        <v>1901031</v>
      </c>
      <c r="D34" s="16" t="s">
        <v>329</v>
      </c>
      <c r="E34" s="17">
        <f>9568+3068+3540+9304</f>
        <v>25480</v>
      </c>
      <c r="F34" s="17"/>
      <c r="H34" s="1"/>
    </row>
    <row r="35" spans="2:8" ht="15.75">
      <c r="B35" s="14">
        <v>43481</v>
      </c>
      <c r="C35" s="15">
        <v>1901032</v>
      </c>
      <c r="D35" s="12" t="s">
        <v>330</v>
      </c>
      <c r="E35" s="17"/>
      <c r="F35" s="17">
        <v>35500</v>
      </c>
      <c r="H35" s="1"/>
    </row>
    <row r="36" spans="2:8" ht="15.75">
      <c r="B36" s="14">
        <v>43481</v>
      </c>
      <c r="C36" s="11">
        <v>1901033</v>
      </c>
      <c r="D36" s="12" t="s">
        <v>5</v>
      </c>
      <c r="E36" s="17"/>
      <c r="F36" s="17">
        <v>2000</v>
      </c>
      <c r="H36" s="1"/>
    </row>
    <row r="37" spans="2:8" ht="15.75">
      <c r="B37" s="14">
        <v>43481</v>
      </c>
      <c r="C37" s="15">
        <v>1901034</v>
      </c>
      <c r="D37" s="12" t="s">
        <v>331</v>
      </c>
      <c r="E37" s="17">
        <f>99989+67643+111835+40782+22992+22756</f>
        <v>365997</v>
      </c>
      <c r="F37" s="17"/>
      <c r="H37" s="1"/>
    </row>
    <row r="38" spans="2:8" ht="15.75">
      <c r="B38" s="14">
        <v>43482</v>
      </c>
      <c r="C38" s="11">
        <v>1901035</v>
      </c>
      <c r="D38" s="12" t="s">
        <v>13</v>
      </c>
      <c r="E38" s="17"/>
      <c r="F38" s="17">
        <v>4000</v>
      </c>
      <c r="H38" s="1"/>
    </row>
    <row r="39" spans="2:8" ht="15.75">
      <c r="B39" s="14">
        <v>43482</v>
      </c>
      <c r="C39" s="15">
        <v>1901036</v>
      </c>
      <c r="D39" s="16" t="s">
        <v>5</v>
      </c>
      <c r="E39" s="17"/>
      <c r="F39" s="17">
        <v>20000</v>
      </c>
      <c r="H39" s="1"/>
    </row>
    <row r="40" spans="2:8" ht="15.75">
      <c r="B40" s="14">
        <v>43482</v>
      </c>
      <c r="C40" s="11">
        <v>1901037</v>
      </c>
      <c r="D40" s="16" t="s">
        <v>332</v>
      </c>
      <c r="E40" s="17">
        <f>89869+100+11133+21718</f>
        <v>122820</v>
      </c>
      <c r="F40" s="17"/>
      <c r="H40" s="1"/>
    </row>
    <row r="41" spans="2:8" ht="15.75">
      <c r="B41" s="14">
        <v>43483</v>
      </c>
      <c r="C41" s="15">
        <v>1901038</v>
      </c>
      <c r="D41" s="16" t="s">
        <v>333</v>
      </c>
      <c r="E41" s="17"/>
      <c r="F41" s="17">
        <v>160000</v>
      </c>
      <c r="H41" s="1"/>
    </row>
    <row r="42" spans="2:8" ht="15.75">
      <c r="B42" s="14">
        <v>43483</v>
      </c>
      <c r="C42" s="11">
        <v>1901039</v>
      </c>
      <c r="D42" s="12" t="s">
        <v>334</v>
      </c>
      <c r="E42" s="17">
        <f>11782+134166+500+24229+27901+8030+9142+45335+28986</f>
        <v>290071</v>
      </c>
      <c r="F42" s="17"/>
      <c r="H42" s="1"/>
    </row>
    <row r="43" spans="2:8" ht="15.75">
      <c r="B43" s="14">
        <v>43483</v>
      </c>
      <c r="C43" s="15">
        <v>1901040</v>
      </c>
      <c r="D43" s="16" t="s">
        <v>335</v>
      </c>
      <c r="E43" s="17"/>
      <c r="F43" s="17">
        <v>223000</v>
      </c>
      <c r="H43" s="1"/>
    </row>
    <row r="44" spans="2:8" ht="15.75">
      <c r="B44" s="14">
        <v>43484</v>
      </c>
      <c r="C44" s="11">
        <v>1901041</v>
      </c>
      <c r="D44" s="16" t="s">
        <v>336</v>
      </c>
      <c r="E44" s="17"/>
      <c r="F44" s="17">
        <v>26000</v>
      </c>
      <c r="H44" s="1"/>
    </row>
    <row r="45" spans="2:8" ht="15.75">
      <c r="B45" s="14">
        <v>43486</v>
      </c>
      <c r="C45" s="15">
        <v>1901042</v>
      </c>
      <c r="D45" s="12" t="s">
        <v>337</v>
      </c>
      <c r="E45" s="17">
        <f>19653+88992+18508+29010+12702+3310</f>
        <v>172175</v>
      </c>
      <c r="F45" s="17"/>
      <c r="H45" s="1"/>
    </row>
    <row r="46" spans="2:8" ht="15.75">
      <c r="B46" s="14">
        <v>43487</v>
      </c>
      <c r="C46" s="11">
        <v>1901043</v>
      </c>
      <c r="D46" s="16" t="s">
        <v>338</v>
      </c>
      <c r="E46" s="17"/>
      <c r="F46" s="17">
        <v>200000</v>
      </c>
      <c r="H46" s="1"/>
    </row>
    <row r="47" spans="2:8" ht="15.75">
      <c r="B47" s="14">
        <v>43487</v>
      </c>
      <c r="C47" s="15">
        <v>1901044</v>
      </c>
      <c r="D47" s="39" t="s">
        <v>341</v>
      </c>
      <c r="E47" s="17"/>
      <c r="F47" s="17">
        <v>189100</v>
      </c>
      <c r="H47" s="1"/>
    </row>
    <row r="48" spans="2:8" ht="15.75">
      <c r="B48" s="14">
        <v>43487</v>
      </c>
      <c r="C48" s="11">
        <v>1901045</v>
      </c>
      <c r="D48" s="39" t="s">
        <v>94</v>
      </c>
      <c r="E48" s="17"/>
      <c r="F48" s="17">
        <v>30100</v>
      </c>
      <c r="H48" s="1"/>
    </row>
    <row r="49" spans="2:8" ht="15.75">
      <c r="B49" s="14">
        <v>43487</v>
      </c>
      <c r="C49" s="15">
        <v>1901046</v>
      </c>
      <c r="D49" s="78" t="s">
        <v>342</v>
      </c>
      <c r="E49" s="17"/>
      <c r="F49" s="17">
        <v>240000</v>
      </c>
      <c r="H49" s="1"/>
    </row>
    <row r="50" spans="2:8" ht="15.75">
      <c r="B50" s="14">
        <v>43487</v>
      </c>
      <c r="C50" s="11">
        <v>1901047</v>
      </c>
      <c r="D50" s="39" t="s">
        <v>343</v>
      </c>
      <c r="E50" s="17">
        <f>10031+33046+3162+3059+15034</f>
        <v>64332</v>
      </c>
      <c r="F50" s="17"/>
      <c r="H50" s="1"/>
    </row>
    <row r="51" spans="2:8" ht="15.75">
      <c r="B51" s="14">
        <v>43488</v>
      </c>
      <c r="C51" s="15">
        <v>1901048</v>
      </c>
      <c r="D51" s="39" t="s">
        <v>344</v>
      </c>
      <c r="E51" s="17"/>
      <c r="F51" s="17">
        <v>30100</v>
      </c>
      <c r="H51" s="1"/>
    </row>
    <row r="52" spans="2:8" ht="15.75">
      <c r="B52" s="14">
        <v>43488</v>
      </c>
      <c r="C52" s="11">
        <v>1901049</v>
      </c>
      <c r="D52" s="39" t="s">
        <v>345</v>
      </c>
      <c r="E52" s="17"/>
      <c r="F52" s="17">
        <v>2000</v>
      </c>
      <c r="H52" s="1"/>
    </row>
    <row r="53" spans="2:8" ht="15.75">
      <c r="B53" s="14">
        <v>43488</v>
      </c>
      <c r="C53" s="15">
        <v>1901050</v>
      </c>
      <c r="D53" s="39" t="s">
        <v>346</v>
      </c>
      <c r="E53" s="17"/>
      <c r="F53" s="17">
        <v>13900</v>
      </c>
      <c r="H53" s="1"/>
    </row>
    <row r="54" spans="2:8" ht="15.75">
      <c r="B54" s="14">
        <v>43488</v>
      </c>
      <c r="C54" s="11">
        <v>1901051</v>
      </c>
      <c r="D54" s="39" t="s">
        <v>347</v>
      </c>
      <c r="E54" s="17"/>
      <c r="F54" s="17">
        <v>25000</v>
      </c>
      <c r="H54" s="1"/>
    </row>
    <row r="55" spans="2:8" ht="15.75">
      <c r="B55" s="14">
        <v>43488</v>
      </c>
      <c r="C55" s="15">
        <v>1901052</v>
      </c>
      <c r="D55" s="39" t="s">
        <v>348</v>
      </c>
      <c r="E55" s="17">
        <f>21906+24568+105415+3461</f>
        <v>155350</v>
      </c>
      <c r="F55" s="17"/>
      <c r="H55" s="1"/>
    </row>
    <row r="56" spans="2:8" ht="15.75">
      <c r="B56" s="14">
        <v>43489</v>
      </c>
      <c r="C56" s="11">
        <v>1901053</v>
      </c>
      <c r="D56" s="39" t="s">
        <v>134</v>
      </c>
      <c r="E56" s="17"/>
      <c r="F56" s="17">
        <v>20000</v>
      </c>
      <c r="H56" s="1"/>
    </row>
    <row r="57" spans="2:8" ht="15.75">
      <c r="B57" s="14">
        <v>43489</v>
      </c>
      <c r="C57" s="15">
        <v>1901054</v>
      </c>
      <c r="D57" s="39" t="s">
        <v>349</v>
      </c>
      <c r="E57" s="17">
        <f>37913+18980+7109</f>
        <v>64002</v>
      </c>
      <c r="F57" s="17"/>
      <c r="H57" s="1"/>
    </row>
    <row r="58" spans="2:8" ht="15.75">
      <c r="B58" s="14">
        <v>43490</v>
      </c>
      <c r="C58" s="11">
        <v>1901055</v>
      </c>
      <c r="D58" s="39" t="s">
        <v>350</v>
      </c>
      <c r="E58" s="17"/>
      <c r="F58" s="17">
        <v>10000</v>
      </c>
      <c r="H58" s="1"/>
    </row>
    <row r="59" spans="2:8" ht="15.75">
      <c r="B59" s="14">
        <v>43490</v>
      </c>
      <c r="C59" s="15">
        <v>1901056</v>
      </c>
      <c r="D59" s="39" t="s">
        <v>351</v>
      </c>
      <c r="E59" s="17"/>
      <c r="F59" s="17">
        <v>200000</v>
      </c>
      <c r="H59" s="1"/>
    </row>
    <row r="60" spans="2:8" ht="15.75">
      <c r="B60" s="14">
        <v>43491</v>
      </c>
      <c r="C60" s="11">
        <v>1901057</v>
      </c>
      <c r="D60" s="39" t="s">
        <v>352</v>
      </c>
      <c r="E60" s="17"/>
      <c r="F60" s="17">
        <v>41500</v>
      </c>
      <c r="H60" s="1"/>
    </row>
    <row r="61" spans="2:8" ht="15.75">
      <c r="B61" s="14">
        <v>43493</v>
      </c>
      <c r="C61" s="15">
        <v>1901058</v>
      </c>
      <c r="D61" s="39" t="s">
        <v>353</v>
      </c>
      <c r="E61" s="17"/>
      <c r="F61" s="17">
        <v>10000</v>
      </c>
      <c r="H61" s="1"/>
    </row>
    <row r="62" spans="2:8" ht="15.75">
      <c r="B62" s="14">
        <v>43493</v>
      </c>
      <c r="C62" s="11">
        <v>1901059</v>
      </c>
      <c r="D62" s="39" t="s">
        <v>301</v>
      </c>
      <c r="E62" s="17"/>
      <c r="F62" s="17">
        <v>104500</v>
      </c>
      <c r="H62" s="1"/>
    </row>
    <row r="63" spans="2:8" ht="15.75">
      <c r="B63" s="14">
        <v>43493</v>
      </c>
      <c r="C63" s="15">
        <v>1901060</v>
      </c>
      <c r="D63" s="39" t="s">
        <v>354</v>
      </c>
      <c r="E63" s="17">
        <f>10750+8950+18154+8873+16738+16054+11994</f>
        <v>91513</v>
      </c>
      <c r="F63" s="17"/>
      <c r="H63" s="1"/>
    </row>
    <row r="64" spans="2:8" ht="15.75">
      <c r="B64" s="14">
        <v>43494</v>
      </c>
      <c r="C64" s="11">
        <v>1901061</v>
      </c>
      <c r="D64" s="39" t="s">
        <v>367</v>
      </c>
      <c r="E64" s="17"/>
      <c r="F64" s="17">
        <v>8450</v>
      </c>
      <c r="H64" s="1"/>
    </row>
    <row r="65" spans="2:8" ht="15.75">
      <c r="B65" s="14">
        <v>43494</v>
      </c>
      <c r="C65" s="11">
        <v>1901062</v>
      </c>
      <c r="D65" s="39" t="s">
        <v>355</v>
      </c>
      <c r="E65" s="17"/>
      <c r="F65" s="17">
        <v>3000</v>
      </c>
      <c r="H65" s="1"/>
    </row>
    <row r="66" spans="2:8" ht="15.75">
      <c r="B66" s="14">
        <v>43494</v>
      </c>
      <c r="C66" s="11">
        <v>1901063</v>
      </c>
      <c r="D66" s="39" t="s">
        <v>356</v>
      </c>
      <c r="E66" s="17">
        <f>16148+12145+50742+5900</f>
        <v>84935</v>
      </c>
      <c r="F66" s="17"/>
      <c r="H66" s="1"/>
    </row>
    <row r="67" spans="2:8" ht="15.75">
      <c r="B67" s="14">
        <v>43495</v>
      </c>
      <c r="C67" s="11">
        <v>1901064</v>
      </c>
      <c r="D67" s="39" t="s">
        <v>28</v>
      </c>
      <c r="E67" s="17"/>
      <c r="F67" s="17">
        <v>41600</v>
      </c>
      <c r="H67" s="1"/>
    </row>
    <row r="68" spans="2:8" ht="15.75">
      <c r="B68" s="14">
        <v>43495</v>
      </c>
      <c r="C68" s="11">
        <v>1901065</v>
      </c>
      <c r="D68" s="39" t="s">
        <v>134</v>
      </c>
      <c r="E68" s="17"/>
      <c r="F68" s="17">
        <v>10000</v>
      </c>
      <c r="H68" s="1"/>
    </row>
    <row r="69" spans="2:8" ht="15.75">
      <c r="B69" s="14">
        <v>43495</v>
      </c>
      <c r="C69" s="11">
        <v>1901066</v>
      </c>
      <c r="D69" s="39" t="s">
        <v>357</v>
      </c>
      <c r="E69" s="17">
        <f>18848+16526+1543</f>
        <v>36917</v>
      </c>
      <c r="F69" s="17"/>
      <c r="H69" s="1"/>
    </row>
    <row r="70" spans="2:8" ht="15.75">
      <c r="B70" s="14">
        <v>43495</v>
      </c>
      <c r="C70" s="11">
        <v>1901067</v>
      </c>
      <c r="D70" s="39" t="s">
        <v>358</v>
      </c>
      <c r="E70" s="17"/>
      <c r="F70" s="17">
        <v>4255</v>
      </c>
      <c r="H70" s="1"/>
    </row>
    <row r="71" spans="2:8" ht="15.75">
      <c r="B71" s="14">
        <v>43495</v>
      </c>
      <c r="C71" s="11">
        <v>1901068</v>
      </c>
      <c r="D71" s="39" t="s">
        <v>359</v>
      </c>
      <c r="E71" s="17"/>
      <c r="F71" s="17">
        <v>10000</v>
      </c>
      <c r="H71" s="1"/>
    </row>
    <row r="72" spans="2:8" ht="15.75">
      <c r="B72" s="14">
        <v>43495</v>
      </c>
      <c r="C72" s="11">
        <v>1901069</v>
      </c>
      <c r="D72" s="39" t="s">
        <v>360</v>
      </c>
      <c r="E72" s="17"/>
      <c r="F72" s="17">
        <v>10000</v>
      </c>
      <c r="H72" s="1"/>
    </row>
    <row r="73" spans="2:8" ht="15.75">
      <c r="B73" s="14">
        <v>43496</v>
      </c>
      <c r="C73" s="11">
        <v>1901070</v>
      </c>
      <c r="D73" s="39" t="s">
        <v>361</v>
      </c>
      <c r="E73" s="17"/>
      <c r="F73" s="17">
        <v>8000</v>
      </c>
      <c r="H73" s="1"/>
    </row>
    <row r="74" spans="2:8" ht="15.75">
      <c r="B74" s="14">
        <v>43496</v>
      </c>
      <c r="C74" s="11">
        <v>1901071</v>
      </c>
      <c r="D74" s="39" t="s">
        <v>134</v>
      </c>
      <c r="E74" s="17"/>
      <c r="F74" s="17">
        <v>10000</v>
      </c>
      <c r="H74" s="1"/>
    </row>
    <row r="75" spans="2:8" ht="15.75">
      <c r="B75" s="14">
        <v>43496</v>
      </c>
      <c r="C75" s="11">
        <v>1901072</v>
      </c>
      <c r="D75" s="39" t="s">
        <v>362</v>
      </c>
      <c r="E75" s="17"/>
      <c r="F75" s="17">
        <v>33640</v>
      </c>
      <c r="H75" s="1"/>
    </row>
    <row r="76" spans="2:8" ht="15.75">
      <c r="B76" s="14">
        <v>43496</v>
      </c>
      <c r="C76" s="11">
        <v>1901073</v>
      </c>
      <c r="D76" s="39" t="s">
        <v>196</v>
      </c>
      <c r="E76" s="17"/>
      <c r="F76" s="17">
        <v>16000</v>
      </c>
      <c r="H76" s="1"/>
    </row>
    <row r="77" spans="2:8" ht="15.75">
      <c r="B77" s="14">
        <v>43496</v>
      </c>
      <c r="C77" s="11">
        <v>1901074</v>
      </c>
      <c r="D77" s="39" t="s">
        <v>363</v>
      </c>
      <c r="E77" s="17"/>
      <c r="F77" s="17">
        <v>120000</v>
      </c>
      <c r="H77" s="1"/>
    </row>
    <row r="78" spans="2:8" ht="15.75">
      <c r="B78" s="54">
        <v>43496</v>
      </c>
      <c r="C78" s="11">
        <v>1901075</v>
      </c>
      <c r="D78" s="39" t="s">
        <v>364</v>
      </c>
      <c r="E78" s="17">
        <v>180254</v>
      </c>
      <c r="F78" s="17"/>
      <c r="H78" s="1"/>
    </row>
    <row r="79" spans="2:8" ht="15.75">
      <c r="B79" s="54">
        <v>43496</v>
      </c>
      <c r="C79" s="11">
        <v>1901076</v>
      </c>
      <c r="D79" s="39" t="s">
        <v>365</v>
      </c>
      <c r="E79" s="17">
        <f>11782+6720+10984+205378+244760+14260+23228</f>
        <v>517112</v>
      </c>
      <c r="F79" s="17"/>
      <c r="H79" s="1"/>
    </row>
    <row r="80" spans="2:8" ht="15.75">
      <c r="B80" s="54">
        <v>43496</v>
      </c>
      <c r="C80" s="11">
        <v>1901077</v>
      </c>
      <c r="D80" s="39" t="s">
        <v>366</v>
      </c>
      <c r="E80" s="17"/>
      <c r="F80" s="17">
        <v>9000</v>
      </c>
      <c r="H80" s="1"/>
    </row>
    <row r="81" spans="2:8" ht="15.75">
      <c r="B81" s="18"/>
      <c r="C81" s="19"/>
      <c r="D81" s="20"/>
      <c r="E81" s="17">
        <f>SUM(E3:E80)</f>
        <v>4890069</v>
      </c>
      <c r="F81" s="17">
        <f>SUM(F3:F80)</f>
        <v>3670912</v>
      </c>
      <c r="H81" s="1"/>
    </row>
    <row r="83" spans="2:8">
      <c r="E83" s="77" t="s">
        <v>6</v>
      </c>
      <c r="F83" s="17">
        <f>E81-F81</f>
        <v>1219157</v>
      </c>
    </row>
  </sheetData>
  <printOptions horizontalCentered="1" verticalCentered="1"/>
  <pageMargins left="0" right="0" top="0" bottom="0" header="0" footer="0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H67"/>
  <sheetViews>
    <sheetView workbookViewId="0">
      <selection activeCell="F67" sqref="B2:F67"/>
    </sheetView>
  </sheetViews>
  <sheetFormatPr baseColWidth="10" defaultRowHeight="15"/>
  <cols>
    <col min="3" max="3" width="11" customWidth="1"/>
    <col min="4" max="4" width="49.28515625" bestFit="1" customWidth="1"/>
    <col min="5" max="6" width="14.140625" style="67" bestFit="1" customWidth="1"/>
    <col min="9" max="9" width="23.5703125" bestFit="1" customWidth="1"/>
    <col min="10" max="10" width="14.140625" bestFit="1" customWidth="1"/>
  </cols>
  <sheetData>
    <row r="2" spans="2:6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6">
      <c r="B3" s="6">
        <v>43374</v>
      </c>
      <c r="C3" s="22"/>
      <c r="D3" s="8" t="s">
        <v>152</v>
      </c>
      <c r="E3" s="66">
        <f>'SEPTEMBRE 2018'!F70</f>
        <v>-1306775</v>
      </c>
      <c r="F3" s="24"/>
    </row>
    <row r="4" spans="2:6" ht="15.75">
      <c r="B4" s="14">
        <v>43374</v>
      </c>
      <c r="C4" s="15">
        <v>1810001</v>
      </c>
      <c r="D4" s="16" t="s">
        <v>153</v>
      </c>
      <c r="E4" s="66"/>
      <c r="F4" s="66">
        <v>1500</v>
      </c>
    </row>
    <row r="5" spans="2:6" ht="15.75">
      <c r="B5" s="14">
        <v>43374</v>
      </c>
      <c r="C5" s="15">
        <v>1810002</v>
      </c>
      <c r="D5" s="16" t="s">
        <v>18</v>
      </c>
      <c r="E5" s="66"/>
      <c r="F5" s="66">
        <v>500</v>
      </c>
    </row>
    <row r="6" spans="2:6" ht="15.75">
      <c r="B6" s="14">
        <v>43374</v>
      </c>
      <c r="C6" s="15">
        <v>1810003</v>
      </c>
      <c r="D6" s="16" t="s">
        <v>154</v>
      </c>
      <c r="E6" s="66"/>
      <c r="F6" s="66">
        <v>55000</v>
      </c>
    </row>
    <row r="7" spans="2:6" ht="15.75">
      <c r="B7" s="14">
        <v>43374</v>
      </c>
      <c r="C7" s="15">
        <v>1810004</v>
      </c>
      <c r="D7" s="16" t="s">
        <v>155</v>
      </c>
      <c r="E7" s="66">
        <f>32929+30780+12608+30780+826</f>
        <v>107923</v>
      </c>
      <c r="F7" s="66"/>
    </row>
    <row r="8" spans="2:6" ht="15.75">
      <c r="B8" s="14">
        <v>43375</v>
      </c>
      <c r="C8" s="15">
        <v>1810005</v>
      </c>
      <c r="D8" s="16" t="s">
        <v>29</v>
      </c>
      <c r="E8" s="66"/>
      <c r="F8" s="66">
        <v>3000</v>
      </c>
    </row>
    <row r="9" spans="2:6" ht="15.75">
      <c r="B9" s="14">
        <v>43375</v>
      </c>
      <c r="C9" s="15">
        <v>1810006</v>
      </c>
      <c r="D9" s="16" t="s">
        <v>156</v>
      </c>
      <c r="E9" s="66"/>
      <c r="F9" s="66">
        <v>150086</v>
      </c>
    </row>
    <row r="10" spans="2:6" ht="15.75">
      <c r="B10" s="14">
        <v>43376</v>
      </c>
      <c r="C10" s="15">
        <v>1810007</v>
      </c>
      <c r="D10" s="16" t="s">
        <v>31</v>
      </c>
      <c r="E10" s="66"/>
      <c r="F10" s="66">
        <v>110000</v>
      </c>
    </row>
    <row r="11" spans="2:6" ht="15.75">
      <c r="B11" s="14">
        <v>43376</v>
      </c>
      <c r="C11" s="15">
        <v>1810008</v>
      </c>
      <c r="D11" s="16" t="s">
        <v>134</v>
      </c>
      <c r="E11" s="66"/>
      <c r="F11" s="66">
        <v>10000</v>
      </c>
    </row>
    <row r="12" spans="2:6" ht="15.75">
      <c r="B12" s="14">
        <v>43376</v>
      </c>
      <c r="C12" s="15">
        <v>1810009</v>
      </c>
      <c r="D12" s="16" t="s">
        <v>157</v>
      </c>
      <c r="E12" s="66">
        <f>4720+8360+11900+15145</f>
        <v>40125</v>
      </c>
      <c r="F12" s="66"/>
    </row>
    <row r="13" spans="2:6" ht="15.75">
      <c r="B13" s="14">
        <v>43377</v>
      </c>
      <c r="C13" s="15">
        <v>1810010</v>
      </c>
      <c r="D13" s="16" t="s">
        <v>158</v>
      </c>
      <c r="E13" s="66">
        <f>24101+32498</f>
        <v>56599</v>
      </c>
      <c r="F13" s="66"/>
    </row>
    <row r="14" spans="2:6" ht="15.75">
      <c r="B14" s="14">
        <v>43378</v>
      </c>
      <c r="C14" s="15">
        <v>1810011</v>
      </c>
      <c r="D14" s="16" t="s">
        <v>46</v>
      </c>
      <c r="E14" s="66"/>
      <c r="F14" s="66">
        <v>2000</v>
      </c>
    </row>
    <row r="15" spans="2:6" ht="15.75">
      <c r="B15" s="14">
        <v>43378</v>
      </c>
      <c r="C15" s="15">
        <v>1810012</v>
      </c>
      <c r="D15" s="16" t="s">
        <v>159</v>
      </c>
      <c r="E15" s="66">
        <f>20260+18904+16714+10201+7803</f>
        <v>73882</v>
      </c>
      <c r="F15" s="66"/>
    </row>
    <row r="16" spans="2:6" ht="15.75">
      <c r="B16" s="14">
        <v>43378</v>
      </c>
      <c r="C16" s="15">
        <v>1810013</v>
      </c>
      <c r="D16" s="16" t="s">
        <v>160</v>
      </c>
      <c r="E16" s="66"/>
      <c r="F16" s="66">
        <v>1000</v>
      </c>
    </row>
    <row r="17" spans="2:6" ht="15.75">
      <c r="B17" s="14">
        <v>43381</v>
      </c>
      <c r="C17" s="15">
        <v>1810014</v>
      </c>
      <c r="D17" s="16" t="s">
        <v>161</v>
      </c>
      <c r="E17" s="66"/>
      <c r="F17" s="66">
        <v>50000</v>
      </c>
    </row>
    <row r="18" spans="2:6" ht="15.75">
      <c r="B18" s="14">
        <v>43381</v>
      </c>
      <c r="C18" s="15">
        <v>1810015</v>
      </c>
      <c r="D18" s="16" t="s">
        <v>162</v>
      </c>
      <c r="E18" s="66"/>
      <c r="F18" s="66">
        <v>60000</v>
      </c>
    </row>
    <row r="19" spans="2:6" ht="15.75">
      <c r="B19" s="14">
        <v>43381</v>
      </c>
      <c r="C19" s="15">
        <v>1810016</v>
      </c>
      <c r="D19" s="16" t="s">
        <v>163</v>
      </c>
      <c r="E19" s="66"/>
      <c r="F19" s="66">
        <v>30100</v>
      </c>
    </row>
    <row r="20" spans="2:6" ht="15.75">
      <c r="B20" s="14">
        <v>43382</v>
      </c>
      <c r="C20" s="15">
        <v>1810017</v>
      </c>
      <c r="D20" s="16" t="s">
        <v>164</v>
      </c>
      <c r="E20" s="66">
        <v>18934</v>
      </c>
      <c r="F20" s="66"/>
    </row>
    <row r="21" spans="2:6">
      <c r="B21" s="14">
        <v>43382</v>
      </c>
      <c r="C21" s="64">
        <v>1810018</v>
      </c>
      <c r="D21" s="39" t="s">
        <v>168</v>
      </c>
      <c r="E21" s="66">
        <f>11253+14343+7652+48480+18012</f>
        <v>99740</v>
      </c>
      <c r="F21" s="65"/>
    </row>
    <row r="22" spans="2:6">
      <c r="B22" s="14">
        <v>43382</v>
      </c>
      <c r="C22" s="64">
        <v>1810019</v>
      </c>
      <c r="D22" s="39" t="s">
        <v>169</v>
      </c>
      <c r="E22" s="66"/>
      <c r="F22" s="66">
        <v>95000</v>
      </c>
    </row>
    <row r="23" spans="2:6">
      <c r="B23" s="14">
        <v>43382</v>
      </c>
      <c r="C23" s="64">
        <v>1810020</v>
      </c>
      <c r="D23" s="39" t="s">
        <v>26</v>
      </c>
      <c r="E23" s="66"/>
      <c r="F23" s="66">
        <v>2253</v>
      </c>
    </row>
    <row r="24" spans="2:6">
      <c r="B24" s="14">
        <v>43382</v>
      </c>
      <c r="C24" s="64">
        <v>1810021</v>
      </c>
      <c r="D24" s="39" t="s">
        <v>170</v>
      </c>
      <c r="E24" s="66"/>
      <c r="F24" s="66">
        <v>1725</v>
      </c>
    </row>
    <row r="25" spans="2:6">
      <c r="B25" s="14">
        <v>43382</v>
      </c>
      <c r="C25" s="64">
        <v>1810022</v>
      </c>
      <c r="D25" s="39" t="s">
        <v>171</v>
      </c>
      <c r="E25" s="66">
        <f>3069+26178+222531</f>
        <v>251778</v>
      </c>
      <c r="F25" s="65"/>
    </row>
    <row r="26" spans="2:6">
      <c r="B26" s="14">
        <v>43383</v>
      </c>
      <c r="C26" s="64">
        <v>1810023</v>
      </c>
      <c r="D26" s="39" t="s">
        <v>172</v>
      </c>
      <c r="E26" s="66"/>
      <c r="F26" s="66">
        <v>6000</v>
      </c>
    </row>
    <row r="27" spans="2:6">
      <c r="B27" s="14">
        <v>43383</v>
      </c>
      <c r="C27" s="64">
        <v>1810024</v>
      </c>
      <c r="D27" s="39" t="s">
        <v>173</v>
      </c>
      <c r="E27" s="66">
        <v>7180</v>
      </c>
      <c r="F27" s="65"/>
    </row>
    <row r="28" spans="2:6">
      <c r="B28" s="14">
        <v>43384</v>
      </c>
      <c r="C28" s="64">
        <v>1810025</v>
      </c>
      <c r="D28" s="39" t="s">
        <v>29</v>
      </c>
      <c r="E28" s="66"/>
      <c r="F28" s="66">
        <v>3000</v>
      </c>
    </row>
    <row r="29" spans="2:6">
      <c r="B29" s="14">
        <v>43384</v>
      </c>
      <c r="C29" s="64">
        <v>1810026</v>
      </c>
      <c r="D29" s="39" t="s">
        <v>174</v>
      </c>
      <c r="E29" s="66"/>
      <c r="F29" s="66">
        <v>40000</v>
      </c>
    </row>
    <row r="30" spans="2:6">
      <c r="B30" s="14">
        <v>43384</v>
      </c>
      <c r="C30" s="64">
        <v>1810027</v>
      </c>
      <c r="D30" s="39" t="s">
        <v>175</v>
      </c>
      <c r="E30" s="66">
        <f>67461+34032+1369+5688+12726</f>
        <v>121276</v>
      </c>
      <c r="F30" s="65"/>
    </row>
    <row r="31" spans="2:6">
      <c r="B31" s="14">
        <v>43384</v>
      </c>
      <c r="C31" s="64">
        <v>1810028</v>
      </c>
      <c r="D31" s="39" t="s">
        <v>176</v>
      </c>
      <c r="E31" s="66"/>
      <c r="F31" s="66">
        <v>55283</v>
      </c>
    </row>
    <row r="32" spans="2:6">
      <c r="B32" s="14">
        <v>43385</v>
      </c>
      <c r="C32" s="64">
        <v>1810029</v>
      </c>
      <c r="D32" s="39" t="s">
        <v>177</v>
      </c>
      <c r="E32" s="66"/>
      <c r="F32" s="66">
        <v>80000</v>
      </c>
    </row>
    <row r="33" spans="2:6">
      <c r="B33" s="14">
        <v>43388</v>
      </c>
      <c r="C33" s="64">
        <v>1810030</v>
      </c>
      <c r="D33" s="39" t="s">
        <v>178</v>
      </c>
      <c r="E33" s="66">
        <f>4425+9795+22756+7624</f>
        <v>44600</v>
      </c>
      <c r="F33" s="65"/>
    </row>
    <row r="34" spans="2:6">
      <c r="B34" s="14">
        <v>43389</v>
      </c>
      <c r="C34" s="64">
        <v>1810031</v>
      </c>
      <c r="D34" s="39" t="s">
        <v>94</v>
      </c>
      <c r="E34" s="66"/>
      <c r="F34" s="66">
        <v>30100</v>
      </c>
    </row>
    <row r="35" spans="2:6">
      <c r="B35" s="14">
        <v>43390</v>
      </c>
      <c r="C35" s="64">
        <v>1810032</v>
      </c>
      <c r="D35" s="39" t="s">
        <v>179</v>
      </c>
      <c r="E35" s="66"/>
      <c r="F35" s="66">
        <v>20000</v>
      </c>
    </row>
    <row r="36" spans="2:6">
      <c r="B36" s="14">
        <v>43390</v>
      </c>
      <c r="C36" s="64">
        <v>1810033</v>
      </c>
      <c r="D36" s="39" t="s">
        <v>13</v>
      </c>
      <c r="E36" s="66"/>
      <c r="F36" s="66">
        <v>1000</v>
      </c>
    </row>
    <row r="37" spans="2:6">
      <c r="B37" s="14">
        <v>43390</v>
      </c>
      <c r="C37" s="64">
        <v>1810034</v>
      </c>
      <c r="D37" s="39" t="s">
        <v>180</v>
      </c>
      <c r="E37" s="66">
        <f>30034+7038+4885</f>
        <v>41957</v>
      </c>
      <c r="F37" s="66"/>
    </row>
    <row r="38" spans="2:6">
      <c r="B38" s="14">
        <v>43391</v>
      </c>
      <c r="C38" s="64">
        <v>1810035</v>
      </c>
      <c r="D38" s="39" t="s">
        <v>181</v>
      </c>
      <c r="E38" s="66">
        <f>11251+23256+20236</f>
        <v>54743</v>
      </c>
      <c r="F38" s="66"/>
    </row>
    <row r="39" spans="2:6">
      <c r="B39" s="14">
        <v>43392</v>
      </c>
      <c r="C39" s="64">
        <v>1810036</v>
      </c>
      <c r="D39" s="39" t="s">
        <v>182</v>
      </c>
      <c r="E39" s="66"/>
      <c r="F39" s="66">
        <v>1500</v>
      </c>
    </row>
    <row r="40" spans="2:6">
      <c r="B40" s="14">
        <v>43392</v>
      </c>
      <c r="C40" s="64">
        <v>1810037</v>
      </c>
      <c r="D40" s="39" t="s">
        <v>183</v>
      </c>
      <c r="E40" s="66"/>
      <c r="F40" s="66">
        <v>5000</v>
      </c>
    </row>
    <row r="41" spans="2:6">
      <c r="B41" s="14">
        <v>43393</v>
      </c>
      <c r="C41" s="64">
        <v>1810038</v>
      </c>
      <c r="D41" s="39" t="s">
        <v>184</v>
      </c>
      <c r="E41" s="66"/>
      <c r="F41" s="66">
        <v>14000</v>
      </c>
    </row>
    <row r="42" spans="2:6">
      <c r="B42" s="14">
        <v>43395</v>
      </c>
      <c r="C42" s="64">
        <v>1810039</v>
      </c>
      <c r="D42" s="39" t="s">
        <v>185</v>
      </c>
      <c r="E42" s="66"/>
      <c r="F42" s="65">
        <v>2000</v>
      </c>
    </row>
    <row r="43" spans="2:6">
      <c r="B43" s="14">
        <v>43395</v>
      </c>
      <c r="C43" s="64">
        <v>1810040</v>
      </c>
      <c r="D43" s="39" t="s">
        <v>186</v>
      </c>
      <c r="E43" s="66"/>
      <c r="F43" s="65">
        <v>3500</v>
      </c>
    </row>
    <row r="44" spans="2:6">
      <c r="B44" s="14">
        <v>43395</v>
      </c>
      <c r="C44" s="64">
        <v>1810041</v>
      </c>
      <c r="D44" s="39" t="s">
        <v>187</v>
      </c>
      <c r="E44" s="66">
        <f>1180+15145+6295+11093+33701</f>
        <v>67414</v>
      </c>
      <c r="F44" s="65"/>
    </row>
    <row r="45" spans="2:6">
      <c r="B45" s="14">
        <v>43396</v>
      </c>
      <c r="C45" s="64">
        <v>1810042</v>
      </c>
      <c r="D45" s="39" t="s">
        <v>177</v>
      </c>
      <c r="E45" s="66"/>
      <c r="F45" s="66">
        <v>20000</v>
      </c>
    </row>
    <row r="46" spans="2:6">
      <c r="B46" s="14">
        <v>43396</v>
      </c>
      <c r="C46" s="64">
        <v>1810043</v>
      </c>
      <c r="D46" s="39" t="s">
        <v>188</v>
      </c>
      <c r="E46" s="66">
        <f>6354+13841+39970+8136+18154+3676</f>
        <v>90131</v>
      </c>
      <c r="F46" s="65"/>
    </row>
    <row r="47" spans="2:6">
      <c r="B47" s="14">
        <v>43397</v>
      </c>
      <c r="C47" s="64">
        <v>1810044</v>
      </c>
      <c r="D47" s="39" t="s">
        <v>189</v>
      </c>
      <c r="E47" s="66"/>
      <c r="F47" s="66">
        <v>100100</v>
      </c>
    </row>
    <row r="48" spans="2:6">
      <c r="B48" s="14">
        <v>43397</v>
      </c>
      <c r="C48" s="64">
        <v>1810045</v>
      </c>
      <c r="D48" s="39" t="s">
        <v>40</v>
      </c>
      <c r="E48" s="66"/>
      <c r="F48" s="66">
        <v>20000</v>
      </c>
    </row>
    <row r="49" spans="2:8">
      <c r="B49" s="14">
        <v>43397</v>
      </c>
      <c r="C49" s="64">
        <v>1810046</v>
      </c>
      <c r="D49" s="39" t="s">
        <v>190</v>
      </c>
      <c r="E49" s="66">
        <f>21916+65850</f>
        <v>87766</v>
      </c>
      <c r="F49" s="65"/>
    </row>
    <row r="50" spans="2:8">
      <c r="B50" s="14">
        <v>43398</v>
      </c>
      <c r="C50" s="64">
        <v>1810047</v>
      </c>
      <c r="D50" s="39" t="s">
        <v>191</v>
      </c>
      <c r="E50" s="66"/>
      <c r="F50" s="66">
        <v>29925</v>
      </c>
    </row>
    <row r="51" spans="2:8">
      <c r="B51" s="14">
        <v>43398</v>
      </c>
      <c r="C51" s="64">
        <v>1810048</v>
      </c>
      <c r="D51" s="39" t="s">
        <v>192</v>
      </c>
      <c r="E51" s="66">
        <v>200000</v>
      </c>
      <c r="F51" s="65"/>
    </row>
    <row r="52" spans="2:8">
      <c r="B52" s="14">
        <v>43398</v>
      </c>
      <c r="C52" s="64">
        <v>1810049</v>
      </c>
      <c r="D52" s="39" t="s">
        <v>193</v>
      </c>
      <c r="E52" s="66">
        <f>27476+18155+15967</f>
        <v>61598</v>
      </c>
      <c r="F52" s="65"/>
    </row>
    <row r="53" spans="2:8">
      <c r="B53" s="14">
        <v>43399</v>
      </c>
      <c r="C53" s="64">
        <v>1810050</v>
      </c>
      <c r="D53" s="39" t="s">
        <v>194</v>
      </c>
      <c r="E53" s="66"/>
      <c r="F53" s="66">
        <v>30100</v>
      </c>
    </row>
    <row r="54" spans="2:8">
      <c r="B54" s="14">
        <v>43400</v>
      </c>
      <c r="C54" s="64">
        <v>1810051</v>
      </c>
      <c r="D54" s="39" t="s">
        <v>195</v>
      </c>
      <c r="E54" s="66"/>
      <c r="F54" s="66">
        <v>15500</v>
      </c>
    </row>
    <row r="55" spans="2:8">
      <c r="B55" s="14">
        <v>43402</v>
      </c>
      <c r="C55" s="64">
        <v>1810052</v>
      </c>
      <c r="D55" s="39" t="s">
        <v>196</v>
      </c>
      <c r="E55" s="66"/>
      <c r="F55" s="66">
        <v>6000</v>
      </c>
      <c r="H55" s="30"/>
    </row>
    <row r="56" spans="2:8">
      <c r="B56" s="14">
        <v>43402</v>
      </c>
      <c r="C56" s="64">
        <v>1810053</v>
      </c>
      <c r="D56" s="39" t="s">
        <v>197</v>
      </c>
      <c r="E56" s="66">
        <f>6590</f>
        <v>6590</v>
      </c>
      <c r="F56" s="65"/>
    </row>
    <row r="57" spans="2:8">
      <c r="B57" s="14">
        <v>43403</v>
      </c>
      <c r="C57" s="64">
        <v>1810054</v>
      </c>
      <c r="D57" s="39" t="s">
        <v>13</v>
      </c>
      <c r="E57" s="66"/>
      <c r="F57" s="66">
        <v>12000</v>
      </c>
    </row>
    <row r="58" spans="2:8">
      <c r="B58" s="14">
        <v>43403</v>
      </c>
      <c r="C58" s="64">
        <v>1810055</v>
      </c>
      <c r="D58" s="39" t="s">
        <v>198</v>
      </c>
      <c r="E58" s="66">
        <f>2567+3000+3422+15647</f>
        <v>24636</v>
      </c>
      <c r="F58" s="65"/>
    </row>
    <row r="59" spans="2:8">
      <c r="B59" s="14">
        <v>43404</v>
      </c>
      <c r="C59" s="64">
        <v>1810056</v>
      </c>
      <c r="D59" s="39" t="s">
        <v>199</v>
      </c>
      <c r="E59" s="66"/>
      <c r="F59" s="66">
        <v>55000</v>
      </c>
    </row>
    <row r="60" spans="2:8">
      <c r="B60" s="14">
        <v>43404</v>
      </c>
      <c r="C60" s="64">
        <v>1810057</v>
      </c>
      <c r="D60" s="39" t="s">
        <v>200</v>
      </c>
      <c r="E60" s="66"/>
      <c r="F60" s="66">
        <v>80000</v>
      </c>
    </row>
    <row r="61" spans="2:8">
      <c r="B61" s="14">
        <v>43404</v>
      </c>
      <c r="C61" s="64">
        <v>1810058</v>
      </c>
      <c r="D61" s="39" t="s">
        <v>201</v>
      </c>
      <c r="E61" s="66"/>
      <c r="F61" s="66">
        <v>12000</v>
      </c>
    </row>
    <row r="62" spans="2:8">
      <c r="B62" s="14">
        <v>43404</v>
      </c>
      <c r="C62" s="64">
        <v>1810059</v>
      </c>
      <c r="D62" s="39" t="s">
        <v>202</v>
      </c>
      <c r="E62" s="66">
        <f>69210+25175+2832+3221</f>
        <v>100438</v>
      </c>
      <c r="F62" s="65"/>
    </row>
    <row r="63" spans="2:8">
      <c r="B63" s="14">
        <v>43404</v>
      </c>
      <c r="C63" s="64">
        <v>1810060</v>
      </c>
      <c r="D63" s="39" t="s">
        <v>34</v>
      </c>
      <c r="E63" s="66"/>
      <c r="F63" s="66">
        <v>2500</v>
      </c>
    </row>
    <row r="64" spans="2:8">
      <c r="B64" s="14">
        <v>43404</v>
      </c>
      <c r="C64" s="64">
        <v>1810061</v>
      </c>
      <c r="D64" s="34" t="s">
        <v>257</v>
      </c>
      <c r="E64" s="66"/>
      <c r="F64" s="66">
        <v>500000</v>
      </c>
    </row>
    <row r="65" spans="2:6" ht="15.75">
      <c r="B65" s="18"/>
      <c r="C65" s="19"/>
      <c r="D65" s="20"/>
      <c r="E65" s="66">
        <f>SUM(E3:E64)</f>
        <v>250535</v>
      </c>
      <c r="F65" s="66">
        <f>SUM(F3:F64)</f>
        <v>1716672</v>
      </c>
    </row>
    <row r="66" spans="2:6">
      <c r="B66" s="5"/>
      <c r="C66" s="27"/>
    </row>
    <row r="67" spans="2:6">
      <c r="B67" s="5"/>
      <c r="C67" s="27"/>
      <c r="E67" s="68" t="s">
        <v>6</v>
      </c>
      <c r="F67" s="66">
        <f>E65-F65</f>
        <v>-1466137</v>
      </c>
    </row>
  </sheetData>
  <printOptions horizontalCentered="1" verticalCentered="1"/>
  <pageMargins left="0" right="0" top="0" bottom="0" header="0" footer="0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2:H61"/>
  <sheetViews>
    <sheetView workbookViewId="0">
      <selection activeCell="F61" sqref="B2:F61"/>
    </sheetView>
  </sheetViews>
  <sheetFormatPr baseColWidth="10" defaultRowHeight="15"/>
  <cols>
    <col min="3" max="3" width="12" customWidth="1"/>
    <col min="4" max="4" width="54.7109375" bestFit="1" customWidth="1"/>
    <col min="5" max="6" width="14.140625" bestFit="1" customWidth="1"/>
    <col min="11" max="11" width="14.140625" bestFit="1" customWidth="1"/>
  </cols>
  <sheetData>
    <row r="2" spans="2:6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6">
      <c r="B3" s="6">
        <v>43405</v>
      </c>
      <c r="C3" s="22"/>
      <c r="D3" s="8" t="s">
        <v>167</v>
      </c>
      <c r="E3" s="55">
        <f>'OCTOBRE 2018'!F67</f>
        <v>-1466137</v>
      </c>
      <c r="F3" s="55"/>
    </row>
    <row r="4" spans="2:6">
      <c r="B4" s="14">
        <v>43406</v>
      </c>
      <c r="C4" s="64">
        <v>1811001</v>
      </c>
      <c r="D4" s="39" t="s">
        <v>204</v>
      </c>
      <c r="E4" s="55">
        <f>111734+30210+2600+13505</f>
        <v>158049</v>
      </c>
      <c r="F4" s="55"/>
    </row>
    <row r="5" spans="2:6">
      <c r="B5" s="14">
        <v>43407</v>
      </c>
      <c r="C5" s="64">
        <v>1811002</v>
      </c>
      <c r="D5" s="39" t="s">
        <v>205</v>
      </c>
      <c r="E5" s="55"/>
      <c r="F5" s="55">
        <v>4000</v>
      </c>
    </row>
    <row r="6" spans="2:6">
      <c r="B6" s="14">
        <v>43409</v>
      </c>
      <c r="C6" s="64">
        <v>1811003</v>
      </c>
      <c r="D6" s="39" t="s">
        <v>206</v>
      </c>
      <c r="E6" s="55"/>
      <c r="F6" s="55">
        <v>30000</v>
      </c>
    </row>
    <row r="7" spans="2:6">
      <c r="B7" s="14">
        <v>43409</v>
      </c>
      <c r="C7" s="64">
        <v>1811004</v>
      </c>
      <c r="D7" s="39" t="s">
        <v>207</v>
      </c>
      <c r="E7" s="55"/>
      <c r="F7" s="55">
        <v>112500</v>
      </c>
    </row>
    <row r="8" spans="2:6">
      <c r="B8" s="14">
        <v>43410</v>
      </c>
      <c r="C8" s="64">
        <v>1811005</v>
      </c>
      <c r="D8" s="39" t="s">
        <v>208</v>
      </c>
      <c r="E8" s="55">
        <f>26202+7947+14260+88288</f>
        <v>136697</v>
      </c>
      <c r="F8" s="55"/>
    </row>
    <row r="9" spans="2:6">
      <c r="B9" s="14">
        <v>43411</v>
      </c>
      <c r="C9" s="64">
        <v>1811006</v>
      </c>
      <c r="D9" s="39" t="s">
        <v>191</v>
      </c>
      <c r="E9" s="55"/>
      <c r="F9" s="55">
        <v>29925</v>
      </c>
    </row>
    <row r="10" spans="2:6">
      <c r="B10" s="14">
        <v>43411</v>
      </c>
      <c r="C10" s="64">
        <v>1811007</v>
      </c>
      <c r="D10" s="39" t="s">
        <v>209</v>
      </c>
      <c r="E10" s="55">
        <f>2926+19157+16856</f>
        <v>38939</v>
      </c>
      <c r="F10" s="55"/>
    </row>
    <row r="11" spans="2:6">
      <c r="B11" s="14">
        <v>43412</v>
      </c>
      <c r="C11" s="64">
        <v>1811008</v>
      </c>
      <c r="D11" s="39" t="s">
        <v>210</v>
      </c>
      <c r="E11" s="55">
        <v>78900</v>
      </c>
      <c r="F11" s="55"/>
    </row>
    <row r="12" spans="2:6">
      <c r="B12" s="14">
        <v>43412</v>
      </c>
      <c r="C12" s="64">
        <v>1811009</v>
      </c>
      <c r="D12" s="39" t="s">
        <v>211</v>
      </c>
      <c r="E12" s="55"/>
      <c r="F12" s="55">
        <v>1400</v>
      </c>
    </row>
    <row r="13" spans="2:6">
      <c r="B13" s="14">
        <v>43412</v>
      </c>
      <c r="C13" s="64">
        <v>1811010</v>
      </c>
      <c r="D13" s="39" t="s">
        <v>212</v>
      </c>
      <c r="E13" s="55"/>
      <c r="F13" s="55">
        <v>95000</v>
      </c>
    </row>
    <row r="14" spans="2:6">
      <c r="B14" s="14">
        <v>43412</v>
      </c>
      <c r="C14" s="64">
        <v>1811011</v>
      </c>
      <c r="D14" s="39" t="s">
        <v>185</v>
      </c>
      <c r="E14" s="55"/>
      <c r="F14" s="55">
        <v>2000</v>
      </c>
    </row>
    <row r="15" spans="2:6">
      <c r="B15" s="14">
        <v>43412</v>
      </c>
      <c r="C15" s="64">
        <v>1811012</v>
      </c>
      <c r="D15" s="39" t="s">
        <v>213</v>
      </c>
      <c r="E15" s="55"/>
      <c r="F15" s="55">
        <v>3000</v>
      </c>
    </row>
    <row r="16" spans="2:6">
      <c r="B16" s="14">
        <v>43413</v>
      </c>
      <c r="C16" s="64">
        <v>1811013</v>
      </c>
      <c r="D16" s="39" t="s">
        <v>214</v>
      </c>
      <c r="E16" s="55"/>
      <c r="F16" s="55">
        <v>3500</v>
      </c>
    </row>
    <row r="17" spans="2:8">
      <c r="B17" s="14">
        <v>43413</v>
      </c>
      <c r="C17" s="64">
        <v>1811014</v>
      </c>
      <c r="D17" s="39" t="s">
        <v>215</v>
      </c>
      <c r="E17" s="55"/>
      <c r="F17" s="55">
        <v>2000</v>
      </c>
    </row>
    <row r="18" spans="2:8">
      <c r="B18" s="14">
        <v>43413</v>
      </c>
      <c r="C18" s="64">
        <v>1811015</v>
      </c>
      <c r="D18" s="39" t="s">
        <v>216</v>
      </c>
      <c r="E18" s="55"/>
      <c r="F18" s="55">
        <v>80000</v>
      </c>
    </row>
    <row r="19" spans="2:8">
      <c r="B19" s="14">
        <v>43413</v>
      </c>
      <c r="C19" s="64">
        <v>1811016</v>
      </c>
      <c r="D19" s="39" t="s">
        <v>217</v>
      </c>
      <c r="E19" s="55">
        <f>4814+14260+13641+567627+35689</f>
        <v>636031</v>
      </c>
      <c r="F19" s="55"/>
    </row>
    <row r="20" spans="2:8">
      <c r="B20" s="14">
        <v>43413</v>
      </c>
      <c r="C20" s="64">
        <v>1811017</v>
      </c>
      <c r="D20" s="39" t="s">
        <v>218</v>
      </c>
      <c r="E20" s="55"/>
      <c r="F20" s="55">
        <v>22000</v>
      </c>
    </row>
    <row r="21" spans="2:8">
      <c r="B21" s="14">
        <v>43413</v>
      </c>
      <c r="C21" s="64">
        <v>1811018</v>
      </c>
      <c r="D21" s="39" t="s">
        <v>219</v>
      </c>
      <c r="E21" s="55">
        <v>13363</v>
      </c>
      <c r="F21" s="55"/>
    </row>
    <row r="22" spans="2:8">
      <c r="B22" s="14">
        <v>43416</v>
      </c>
      <c r="C22" s="64">
        <v>1811019</v>
      </c>
      <c r="D22" s="39" t="s">
        <v>220</v>
      </c>
      <c r="E22" s="55"/>
      <c r="F22" s="55">
        <v>20000</v>
      </c>
    </row>
    <row r="23" spans="2:8">
      <c r="B23" s="14">
        <v>43416</v>
      </c>
      <c r="C23" s="64">
        <v>1811020</v>
      </c>
      <c r="D23" s="39" t="s">
        <v>36</v>
      </c>
      <c r="E23" s="55"/>
      <c r="F23" s="55">
        <v>30100</v>
      </c>
    </row>
    <row r="24" spans="2:8">
      <c r="B24" s="14">
        <v>43416</v>
      </c>
      <c r="C24" s="64">
        <v>1811021</v>
      </c>
      <c r="D24" s="39" t="s">
        <v>221</v>
      </c>
      <c r="E24" s="55"/>
      <c r="F24" s="55">
        <v>103715</v>
      </c>
    </row>
    <row r="25" spans="2:8">
      <c r="B25" s="14">
        <v>43416</v>
      </c>
      <c r="C25" s="64">
        <v>1811022</v>
      </c>
      <c r="D25" s="39" t="s">
        <v>222</v>
      </c>
      <c r="E25" s="55"/>
      <c r="F25" s="55">
        <v>78100</v>
      </c>
    </row>
    <row r="26" spans="2:8">
      <c r="B26" s="14">
        <v>43416</v>
      </c>
      <c r="C26" s="64">
        <v>1811023</v>
      </c>
      <c r="D26" s="39" t="s">
        <v>223</v>
      </c>
      <c r="E26" s="55"/>
      <c r="F26" s="55">
        <v>50000</v>
      </c>
    </row>
    <row r="27" spans="2:8">
      <c r="B27" s="14">
        <v>43416</v>
      </c>
      <c r="C27" s="64">
        <v>1811024</v>
      </c>
      <c r="D27" s="39" t="s">
        <v>224</v>
      </c>
      <c r="E27" s="55">
        <f>10248+8313+31677+2596</f>
        <v>52834</v>
      </c>
      <c r="F27" s="55"/>
    </row>
    <row r="28" spans="2:8">
      <c r="B28" s="14">
        <v>43417</v>
      </c>
      <c r="C28" s="64">
        <v>1811025</v>
      </c>
      <c r="D28" s="39" t="s">
        <v>225</v>
      </c>
      <c r="E28" s="55"/>
      <c r="F28" s="55">
        <v>60000</v>
      </c>
    </row>
    <row r="29" spans="2:8">
      <c r="B29" s="14">
        <v>43417</v>
      </c>
      <c r="C29" s="64">
        <v>1811026</v>
      </c>
      <c r="D29" s="39" t="s">
        <v>172</v>
      </c>
      <c r="E29" s="55"/>
      <c r="F29" s="55">
        <v>6000</v>
      </c>
    </row>
    <row r="30" spans="2:8">
      <c r="B30" s="14">
        <v>43417</v>
      </c>
      <c r="C30" s="64">
        <v>1811027</v>
      </c>
      <c r="D30" s="39" t="s">
        <v>226</v>
      </c>
      <c r="E30" s="55"/>
      <c r="F30" s="55">
        <v>3000</v>
      </c>
    </row>
    <row r="31" spans="2:8">
      <c r="B31" s="14">
        <v>43417</v>
      </c>
      <c r="C31" s="64">
        <v>1811028</v>
      </c>
      <c r="D31" s="39" t="s">
        <v>227</v>
      </c>
      <c r="E31" s="55">
        <f>3835+7711+9481+26735+7521+31269</f>
        <v>86552</v>
      </c>
      <c r="F31" s="55"/>
    </row>
    <row r="32" spans="2:8">
      <c r="B32" s="14">
        <v>43417</v>
      </c>
      <c r="C32" s="64">
        <v>1811029</v>
      </c>
      <c r="D32" s="39" t="s">
        <v>228</v>
      </c>
      <c r="E32" s="55">
        <v>200000</v>
      </c>
      <c r="F32" s="55"/>
      <c r="H32" s="30"/>
    </row>
    <row r="33" spans="2:6">
      <c r="B33" s="14">
        <v>43418</v>
      </c>
      <c r="C33" s="64">
        <v>1811030</v>
      </c>
      <c r="D33" s="39" t="s">
        <v>229</v>
      </c>
      <c r="E33" s="55">
        <v>18886</v>
      </c>
      <c r="F33" s="55"/>
    </row>
    <row r="34" spans="2:6" ht="15.75">
      <c r="B34" s="14">
        <v>43420</v>
      </c>
      <c r="C34" s="15">
        <v>1811031</v>
      </c>
      <c r="D34" s="16" t="s">
        <v>230</v>
      </c>
      <c r="E34" s="55"/>
      <c r="F34" s="55">
        <v>100100</v>
      </c>
    </row>
    <row r="35" spans="2:6" ht="15.75">
      <c r="B35" s="14">
        <v>43420</v>
      </c>
      <c r="C35" s="15">
        <v>1811032</v>
      </c>
      <c r="D35" s="16" t="s">
        <v>231</v>
      </c>
      <c r="E35" s="55">
        <f>5664+7534+17172+31724+142855+5192</f>
        <v>210141</v>
      </c>
      <c r="F35" s="55"/>
    </row>
    <row r="36" spans="2:6" ht="15.75">
      <c r="B36" s="14">
        <v>43421</v>
      </c>
      <c r="C36" s="15">
        <v>1811033</v>
      </c>
      <c r="D36" s="16" t="s">
        <v>232</v>
      </c>
      <c r="E36" s="55">
        <f>34025+7121+7322</f>
        <v>48468</v>
      </c>
      <c r="F36" s="55"/>
    </row>
    <row r="37" spans="2:6" ht="15.75">
      <c r="B37" s="14">
        <v>43421</v>
      </c>
      <c r="C37" s="15">
        <v>1811034</v>
      </c>
      <c r="D37" s="16" t="s">
        <v>46</v>
      </c>
      <c r="E37" s="55"/>
      <c r="F37" s="55">
        <v>2000</v>
      </c>
    </row>
    <row r="38" spans="2:6" ht="15.75">
      <c r="B38" s="14">
        <v>43421</v>
      </c>
      <c r="C38" s="15">
        <v>1811035</v>
      </c>
      <c r="D38" s="16" t="s">
        <v>233</v>
      </c>
      <c r="E38" s="55"/>
      <c r="F38" s="55">
        <v>18000</v>
      </c>
    </row>
    <row r="39" spans="2:6" ht="15.75">
      <c r="B39" s="14">
        <v>43423</v>
      </c>
      <c r="C39" s="15">
        <v>1811036</v>
      </c>
      <c r="D39" s="16" t="s">
        <v>234</v>
      </c>
      <c r="E39" s="55"/>
      <c r="F39" s="55">
        <v>30100</v>
      </c>
    </row>
    <row r="40" spans="2:6" ht="15.75">
      <c r="B40" s="14">
        <v>43425</v>
      </c>
      <c r="C40" s="15">
        <v>1811037</v>
      </c>
      <c r="D40" s="16" t="s">
        <v>235</v>
      </c>
      <c r="E40" s="55"/>
      <c r="F40" s="55">
        <v>150000</v>
      </c>
    </row>
    <row r="41" spans="2:6" ht="15.75">
      <c r="B41" s="14">
        <v>43425</v>
      </c>
      <c r="C41" s="15">
        <v>1811038</v>
      </c>
      <c r="D41" s="16" t="s">
        <v>236</v>
      </c>
      <c r="E41" s="55"/>
      <c r="F41" s="55">
        <v>15000</v>
      </c>
    </row>
    <row r="42" spans="2:6" ht="15.75">
      <c r="B42" s="14">
        <v>43425</v>
      </c>
      <c r="C42" s="15">
        <v>1811039</v>
      </c>
      <c r="D42" s="16" t="s">
        <v>228</v>
      </c>
      <c r="E42" s="55">
        <v>300000</v>
      </c>
      <c r="F42" s="55"/>
    </row>
    <row r="43" spans="2:6" ht="15.75">
      <c r="B43" s="14">
        <v>43425</v>
      </c>
      <c r="C43" s="15">
        <v>1811040</v>
      </c>
      <c r="D43" s="16" t="s">
        <v>237</v>
      </c>
      <c r="E43" s="55">
        <f>3021+3564+11635+8826+33140+19428+8124+4413</f>
        <v>92151</v>
      </c>
      <c r="F43" s="55"/>
    </row>
    <row r="44" spans="2:6" ht="15.75">
      <c r="B44" s="14">
        <v>43426</v>
      </c>
      <c r="C44" s="15">
        <v>1811041</v>
      </c>
      <c r="D44" s="16" t="s">
        <v>14</v>
      </c>
      <c r="E44" s="55"/>
      <c r="F44" s="55">
        <v>30000</v>
      </c>
    </row>
    <row r="45" spans="2:6" ht="15.75">
      <c r="B45" s="14">
        <v>43427</v>
      </c>
      <c r="C45" s="15">
        <v>1811042</v>
      </c>
      <c r="D45" s="16" t="s">
        <v>238</v>
      </c>
      <c r="E45" s="55">
        <f>21095+10130+29600+4514+29187+30686+3658</f>
        <v>128870</v>
      </c>
      <c r="F45" s="55"/>
    </row>
    <row r="46" spans="2:6" ht="15.75">
      <c r="B46" s="14">
        <v>43430</v>
      </c>
      <c r="C46" s="15">
        <v>1811043</v>
      </c>
      <c r="D46" s="16" t="s">
        <v>239</v>
      </c>
      <c r="E46" s="55"/>
      <c r="F46" s="55">
        <v>12500</v>
      </c>
    </row>
    <row r="47" spans="2:6" ht="15.75">
      <c r="B47" s="14">
        <v>43430</v>
      </c>
      <c r="C47" s="15">
        <v>1811044</v>
      </c>
      <c r="D47" s="16" t="s">
        <v>29</v>
      </c>
      <c r="E47" s="55"/>
      <c r="F47" s="55">
        <v>3000</v>
      </c>
    </row>
    <row r="48" spans="2:6" ht="15.75">
      <c r="B48" s="14">
        <v>43430</v>
      </c>
      <c r="C48" s="15">
        <v>1811045</v>
      </c>
      <c r="D48" s="16" t="s">
        <v>240</v>
      </c>
      <c r="E48" s="55"/>
      <c r="F48" s="55">
        <v>12500</v>
      </c>
    </row>
    <row r="49" spans="2:8" ht="15.75">
      <c r="B49" s="14">
        <v>43430</v>
      </c>
      <c r="C49" s="15">
        <v>1811046</v>
      </c>
      <c r="D49" s="16" t="s">
        <v>241</v>
      </c>
      <c r="E49" s="55">
        <f>186940+188512+5074+8149+10130+201109+21665+147207+12859</f>
        <v>781645</v>
      </c>
      <c r="F49" s="55"/>
    </row>
    <row r="50" spans="2:8" ht="15.75">
      <c r="B50" s="14">
        <v>43432</v>
      </c>
      <c r="C50" s="15">
        <v>1811047</v>
      </c>
      <c r="D50" s="16" t="s">
        <v>242</v>
      </c>
      <c r="E50" s="55"/>
      <c r="F50" s="55">
        <v>142500</v>
      </c>
    </row>
    <row r="51" spans="2:8" ht="15.75">
      <c r="B51" s="14">
        <v>43432</v>
      </c>
      <c r="C51" s="15">
        <v>1811048</v>
      </c>
      <c r="D51" s="16" t="s">
        <v>243</v>
      </c>
      <c r="E51" s="55"/>
      <c r="F51" s="55">
        <v>96716</v>
      </c>
    </row>
    <row r="52" spans="2:8" ht="15.75">
      <c r="B52" s="14">
        <v>43432</v>
      </c>
      <c r="C52" s="15">
        <v>1811049</v>
      </c>
      <c r="D52" s="16" t="s">
        <v>244</v>
      </c>
      <c r="E52" s="55">
        <f>4708+15898+17387+15346+8877+4248</f>
        <v>66464</v>
      </c>
      <c r="F52" s="55"/>
    </row>
    <row r="53" spans="2:8" ht="15.75">
      <c r="B53" s="14">
        <v>43432</v>
      </c>
      <c r="C53" s="15">
        <v>1811050</v>
      </c>
      <c r="D53" s="16" t="s">
        <v>245</v>
      </c>
      <c r="E53" s="55">
        <v>24774</v>
      </c>
      <c r="F53" s="55"/>
    </row>
    <row r="54" spans="2:8" ht="15.75">
      <c r="B54" s="14">
        <v>43433</v>
      </c>
      <c r="C54" s="15">
        <v>1811051</v>
      </c>
      <c r="D54" s="16" t="s">
        <v>246</v>
      </c>
      <c r="E54" s="55">
        <f>14581+11926+183636+2891+18130+66180+76480</f>
        <v>373824</v>
      </c>
      <c r="F54" s="55"/>
    </row>
    <row r="55" spans="2:8" ht="15.75">
      <c r="B55" s="14">
        <v>43434</v>
      </c>
      <c r="C55" s="15">
        <v>1811052</v>
      </c>
      <c r="D55" s="16" t="s">
        <v>247</v>
      </c>
      <c r="E55" s="55"/>
      <c r="F55" s="55">
        <v>14000</v>
      </c>
    </row>
    <row r="56" spans="2:8" ht="15.75">
      <c r="B56" s="14">
        <v>43434</v>
      </c>
      <c r="C56" s="15">
        <v>1811053</v>
      </c>
      <c r="D56" s="16" t="s">
        <v>172</v>
      </c>
      <c r="E56" s="55"/>
      <c r="F56" s="55">
        <v>6000</v>
      </c>
    </row>
    <row r="57" spans="2:8" ht="15.75">
      <c r="B57" s="14">
        <v>43434</v>
      </c>
      <c r="C57" s="15">
        <v>1811054</v>
      </c>
      <c r="D57" s="16" t="s">
        <v>248</v>
      </c>
      <c r="E57" s="55">
        <v>2006</v>
      </c>
      <c r="F57" s="55"/>
      <c r="H57" s="30"/>
    </row>
    <row r="58" spans="2:8" ht="15.75">
      <c r="B58" s="14">
        <v>43434</v>
      </c>
      <c r="C58" s="15">
        <v>1811055</v>
      </c>
      <c r="D58" s="34" t="s">
        <v>257</v>
      </c>
      <c r="E58" s="55"/>
      <c r="F58" s="55">
        <v>700000</v>
      </c>
      <c r="H58" s="30"/>
    </row>
    <row r="59" spans="2:8" ht="15.75">
      <c r="B59" s="18"/>
      <c r="C59" s="19"/>
      <c r="D59" s="20"/>
      <c r="E59" s="71">
        <f>SUM(E3:E58)</f>
        <v>1982457</v>
      </c>
      <c r="F59" s="71">
        <f>SUM(F3:F58)</f>
        <v>2068656</v>
      </c>
    </row>
    <row r="60" spans="2:8">
      <c r="B60" s="5"/>
      <c r="C60" s="27"/>
      <c r="F60" s="69"/>
    </row>
    <row r="61" spans="2:8">
      <c r="B61" s="5"/>
      <c r="C61" s="27"/>
      <c r="E61" s="21" t="s">
        <v>6</v>
      </c>
      <c r="F61" s="55">
        <f>E59-F59</f>
        <v>-86199</v>
      </c>
    </row>
  </sheetData>
  <printOptions horizontalCentered="1" verticalCentered="1"/>
  <pageMargins left="0" right="0" top="0" bottom="0" header="0" footer="0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2:M121"/>
  <sheetViews>
    <sheetView topLeftCell="A100" workbookViewId="0">
      <selection activeCell="B85" sqref="B85:F85"/>
    </sheetView>
  </sheetViews>
  <sheetFormatPr baseColWidth="10" defaultRowHeight="15"/>
  <cols>
    <col min="3" max="3" width="12.42578125" customWidth="1"/>
    <col min="4" max="4" width="49.28515625" bestFit="1" customWidth="1"/>
    <col min="5" max="6" width="14.140625" bestFit="1" customWidth="1"/>
    <col min="10" max="10" width="23.5703125" bestFit="1" customWidth="1"/>
    <col min="11" max="11" width="14.140625" bestFit="1" customWidth="1"/>
    <col min="13" max="13" width="12.7109375" bestFit="1" customWidth="1"/>
  </cols>
  <sheetData>
    <row r="2" spans="2:6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6">
      <c r="B3" s="6">
        <v>43435</v>
      </c>
      <c r="C3" s="22"/>
      <c r="D3" s="8" t="s">
        <v>203</v>
      </c>
      <c r="E3" s="55">
        <f>'NOVEMBRE 2018'!F61</f>
        <v>-86199</v>
      </c>
      <c r="F3" s="24"/>
    </row>
    <row r="4" spans="2:6" ht="15.75">
      <c r="B4" s="14">
        <v>43437</v>
      </c>
      <c r="C4" s="15">
        <v>1812001</v>
      </c>
      <c r="D4" s="16" t="s">
        <v>249</v>
      </c>
      <c r="E4" s="55"/>
      <c r="F4" s="55">
        <v>60000</v>
      </c>
    </row>
    <row r="5" spans="2:6" ht="15.75">
      <c r="B5" s="14">
        <v>43437</v>
      </c>
      <c r="C5" s="15">
        <v>1812002</v>
      </c>
      <c r="D5" s="16" t="s">
        <v>250</v>
      </c>
      <c r="E5" s="55"/>
      <c r="F5" s="55">
        <v>88000</v>
      </c>
    </row>
    <row r="6" spans="2:6" ht="15.75">
      <c r="B6" s="14">
        <v>43437</v>
      </c>
      <c r="C6" s="15">
        <v>1812003</v>
      </c>
      <c r="D6" s="16" t="s">
        <v>251</v>
      </c>
      <c r="E6" s="55">
        <v>294000</v>
      </c>
      <c r="F6" s="55"/>
    </row>
    <row r="7" spans="2:6" ht="15.75">
      <c r="B7" s="14">
        <v>43437</v>
      </c>
      <c r="C7" s="15">
        <v>1812004</v>
      </c>
      <c r="D7" s="16" t="s">
        <v>252</v>
      </c>
      <c r="E7" s="55">
        <f>42580</f>
        <v>42580</v>
      </c>
      <c r="F7" s="55"/>
    </row>
    <row r="8" spans="2:6" ht="15.75">
      <c r="B8" s="14">
        <v>43437</v>
      </c>
      <c r="C8" s="15">
        <v>1812005</v>
      </c>
      <c r="D8" s="16" t="s">
        <v>253</v>
      </c>
      <c r="E8" s="55">
        <f>11605+15145+3511+18036+5777+13140+17151+9378</f>
        <v>93743</v>
      </c>
      <c r="F8" s="55"/>
    </row>
    <row r="9" spans="2:6" ht="15.75">
      <c r="B9" s="14">
        <v>43438</v>
      </c>
      <c r="C9" s="15">
        <v>1812006</v>
      </c>
      <c r="D9" s="16" t="s">
        <v>254</v>
      </c>
      <c r="E9" s="55"/>
      <c r="F9" s="55">
        <v>120000</v>
      </c>
    </row>
    <row r="10" spans="2:6" ht="15.75">
      <c r="B10" s="14">
        <v>43438</v>
      </c>
      <c r="C10" s="15">
        <v>1812007</v>
      </c>
      <c r="D10" s="16" t="s">
        <v>255</v>
      </c>
      <c r="E10" s="55"/>
      <c r="F10" s="55">
        <v>14000</v>
      </c>
    </row>
    <row r="11" spans="2:6" ht="15.75">
      <c r="B11" s="6">
        <v>43438</v>
      </c>
      <c r="C11" s="33">
        <v>1812008</v>
      </c>
      <c r="D11" s="36" t="s">
        <v>256</v>
      </c>
      <c r="E11" s="70"/>
      <c r="F11" s="70">
        <v>12000</v>
      </c>
    </row>
    <row r="12" spans="2:6" ht="15.75">
      <c r="B12" s="6">
        <v>43438</v>
      </c>
      <c r="C12" s="35">
        <v>1812009</v>
      </c>
      <c r="D12" s="34" t="s">
        <v>257</v>
      </c>
      <c r="E12" s="70"/>
      <c r="F12" s="70">
        <v>526000</v>
      </c>
    </row>
    <row r="13" spans="2:6">
      <c r="B13" s="14">
        <v>43439</v>
      </c>
      <c r="C13" s="64">
        <v>1812010</v>
      </c>
      <c r="D13" s="39" t="s">
        <v>258</v>
      </c>
      <c r="E13" s="55"/>
      <c r="F13" s="55">
        <v>8000</v>
      </c>
    </row>
    <row r="14" spans="2:6">
      <c r="B14" s="14">
        <v>43439</v>
      </c>
      <c r="C14" s="64">
        <v>1812011</v>
      </c>
      <c r="D14" s="39" t="s">
        <v>259</v>
      </c>
      <c r="E14" s="55"/>
      <c r="F14" s="55">
        <v>40000</v>
      </c>
    </row>
    <row r="15" spans="2:6">
      <c r="B15" s="14">
        <v>43439</v>
      </c>
      <c r="C15" s="64">
        <v>1812012</v>
      </c>
      <c r="D15" s="39" t="s">
        <v>260</v>
      </c>
      <c r="E15" s="55"/>
      <c r="F15" s="55">
        <v>15000</v>
      </c>
    </row>
    <row r="16" spans="2:6">
      <c r="B16" s="14">
        <v>43439</v>
      </c>
      <c r="C16" s="64">
        <v>1812013</v>
      </c>
      <c r="D16" s="39" t="s">
        <v>261</v>
      </c>
      <c r="E16" s="55"/>
      <c r="F16" s="55">
        <v>2500</v>
      </c>
    </row>
    <row r="17" spans="2:6">
      <c r="B17" s="14">
        <v>43439</v>
      </c>
      <c r="C17" s="64">
        <v>1812014</v>
      </c>
      <c r="D17" s="39" t="s">
        <v>262</v>
      </c>
      <c r="E17" s="55"/>
      <c r="F17" s="55">
        <v>70100</v>
      </c>
    </row>
    <row r="18" spans="2:6">
      <c r="B18" s="14">
        <v>43439</v>
      </c>
      <c r="C18" s="64">
        <v>1812015</v>
      </c>
      <c r="D18" s="39" t="s">
        <v>263</v>
      </c>
      <c r="E18" s="55">
        <f>38274+1558+2124+8832+3540+74865</f>
        <v>129193</v>
      </c>
      <c r="F18" s="55"/>
    </row>
    <row r="19" spans="2:6">
      <c r="B19" s="14">
        <v>43439</v>
      </c>
      <c r="C19" s="64">
        <v>1812016</v>
      </c>
      <c r="D19" s="39" t="s">
        <v>264</v>
      </c>
      <c r="E19" s="55"/>
      <c r="F19" s="55">
        <v>35000</v>
      </c>
    </row>
    <row r="20" spans="2:6">
      <c r="B20" s="14">
        <v>43440</v>
      </c>
      <c r="C20" s="64">
        <v>1812017</v>
      </c>
      <c r="D20" s="39" t="s">
        <v>27</v>
      </c>
      <c r="E20" s="55"/>
      <c r="F20" s="55">
        <v>27000</v>
      </c>
    </row>
    <row r="21" spans="2:6">
      <c r="B21" s="14">
        <v>43440</v>
      </c>
      <c r="C21" s="64">
        <v>1812018</v>
      </c>
      <c r="D21" s="39" t="s">
        <v>265</v>
      </c>
      <c r="E21" s="55">
        <f>4932+28538+22417+3186+10583</f>
        <v>69656</v>
      </c>
      <c r="F21" s="55"/>
    </row>
    <row r="22" spans="2:6">
      <c r="B22" s="14">
        <v>43440</v>
      </c>
      <c r="C22" s="64">
        <v>1812019</v>
      </c>
      <c r="D22" s="39" t="s">
        <v>266</v>
      </c>
      <c r="E22" s="55"/>
      <c r="F22" s="55">
        <v>140000</v>
      </c>
    </row>
    <row r="23" spans="2:6">
      <c r="B23" s="14">
        <v>43440</v>
      </c>
      <c r="C23" s="64">
        <v>1812020</v>
      </c>
      <c r="D23" s="39" t="s">
        <v>264</v>
      </c>
      <c r="E23" s="55"/>
      <c r="F23" s="55">
        <v>15000</v>
      </c>
    </row>
    <row r="24" spans="2:6">
      <c r="B24" s="14">
        <v>43440</v>
      </c>
      <c r="C24" s="64">
        <v>1812021</v>
      </c>
      <c r="D24" s="39" t="s">
        <v>267</v>
      </c>
      <c r="E24" s="55"/>
      <c r="F24" s="55">
        <v>5000</v>
      </c>
    </row>
    <row r="25" spans="2:6">
      <c r="B25" s="14">
        <v>43440</v>
      </c>
      <c r="C25" s="64">
        <v>1812022</v>
      </c>
      <c r="D25" s="39" t="s">
        <v>268</v>
      </c>
      <c r="E25" s="55"/>
      <c r="F25" s="55">
        <v>15000</v>
      </c>
    </row>
    <row r="26" spans="2:6">
      <c r="B26" s="14">
        <v>43441</v>
      </c>
      <c r="C26" s="64">
        <v>1812023</v>
      </c>
      <c r="D26" s="39" t="s">
        <v>264</v>
      </c>
      <c r="E26" s="55"/>
      <c r="F26" s="55">
        <v>12000</v>
      </c>
    </row>
    <row r="27" spans="2:6">
      <c r="B27" s="14">
        <v>43442</v>
      </c>
      <c r="C27" s="64">
        <v>1812024</v>
      </c>
      <c r="D27" s="39" t="s">
        <v>269</v>
      </c>
      <c r="E27" s="55"/>
      <c r="F27" s="55">
        <f>2000+1500+2000+2000+1000+7000+500+2000+2000+4000+4000</f>
        <v>28000</v>
      </c>
    </row>
    <row r="28" spans="2:6">
      <c r="B28" s="14">
        <v>43444</v>
      </c>
      <c r="C28" s="64">
        <v>1812025</v>
      </c>
      <c r="D28" s="39" t="s">
        <v>250</v>
      </c>
      <c r="E28" s="55"/>
      <c r="F28" s="55">
        <v>50000</v>
      </c>
    </row>
    <row r="29" spans="2:6">
      <c r="B29" s="14">
        <v>43444</v>
      </c>
      <c r="C29" s="64">
        <v>1812026</v>
      </c>
      <c r="D29" s="39" t="s">
        <v>270</v>
      </c>
      <c r="E29" s="55"/>
      <c r="F29" s="55">
        <v>30904</v>
      </c>
    </row>
    <row r="30" spans="2:6">
      <c r="B30" s="14">
        <v>43444</v>
      </c>
      <c r="C30" s="64">
        <v>1812027</v>
      </c>
      <c r="D30" s="39" t="s">
        <v>271</v>
      </c>
      <c r="E30" s="55"/>
      <c r="F30" s="55">
        <v>20000</v>
      </c>
    </row>
    <row r="31" spans="2:6">
      <c r="B31" s="72">
        <v>43444</v>
      </c>
      <c r="C31" s="73">
        <v>1812028</v>
      </c>
      <c r="D31" s="74" t="s">
        <v>272</v>
      </c>
      <c r="E31" s="75"/>
      <c r="F31" s="75">
        <v>19200</v>
      </c>
    </row>
    <row r="32" spans="2:6">
      <c r="B32" s="14">
        <v>43445</v>
      </c>
      <c r="C32" s="64">
        <v>1812029</v>
      </c>
      <c r="D32" s="39" t="s">
        <v>273</v>
      </c>
      <c r="E32" s="55"/>
      <c r="F32" s="55">
        <v>21000</v>
      </c>
    </row>
    <row r="33" spans="2:6">
      <c r="B33" s="14">
        <v>43445</v>
      </c>
      <c r="C33" s="64">
        <v>1812030</v>
      </c>
      <c r="D33" s="39" t="s">
        <v>274</v>
      </c>
      <c r="E33" s="55"/>
      <c r="F33" s="55">
        <v>36000</v>
      </c>
    </row>
    <row r="34" spans="2:6">
      <c r="B34" s="14">
        <v>43445</v>
      </c>
      <c r="C34" s="64">
        <v>1812031</v>
      </c>
      <c r="D34" s="39" t="s">
        <v>94</v>
      </c>
      <c r="E34" s="55"/>
      <c r="F34" s="55">
        <v>30100</v>
      </c>
    </row>
    <row r="35" spans="2:6">
      <c r="B35" s="14">
        <v>43445</v>
      </c>
      <c r="C35" s="64">
        <v>1812032</v>
      </c>
      <c r="D35" s="39" t="s">
        <v>275</v>
      </c>
      <c r="E35" s="55">
        <v>6708</v>
      </c>
      <c r="F35" s="55"/>
    </row>
    <row r="36" spans="2:6">
      <c r="B36" s="14">
        <v>43445</v>
      </c>
      <c r="C36" s="64">
        <v>1812033</v>
      </c>
      <c r="D36" s="39" t="s">
        <v>66</v>
      </c>
      <c r="E36" s="55"/>
      <c r="F36" s="55">
        <v>10000</v>
      </c>
    </row>
    <row r="37" spans="2:6">
      <c r="B37" s="14">
        <v>43445</v>
      </c>
      <c r="C37" s="64">
        <v>1812034</v>
      </c>
      <c r="D37" s="39" t="s">
        <v>262</v>
      </c>
      <c r="E37" s="55"/>
      <c r="F37" s="55">
        <v>12950</v>
      </c>
    </row>
    <row r="38" spans="2:6">
      <c r="B38" s="14">
        <v>43446</v>
      </c>
      <c r="C38" s="64">
        <v>1812035</v>
      </c>
      <c r="D38" s="39" t="s">
        <v>276</v>
      </c>
      <c r="E38" s="55"/>
      <c r="F38" s="55">
        <v>10000</v>
      </c>
    </row>
    <row r="39" spans="2:6">
      <c r="B39" s="14">
        <v>43446</v>
      </c>
      <c r="C39" s="64">
        <v>1812036</v>
      </c>
      <c r="D39" s="39" t="s">
        <v>277</v>
      </c>
      <c r="E39" s="55">
        <f>5145+9629+16252+11750+14458+8080+1935+30780</f>
        <v>98029</v>
      </c>
      <c r="F39" s="55"/>
    </row>
    <row r="40" spans="2:6">
      <c r="B40" s="14">
        <v>43446</v>
      </c>
      <c r="C40" s="64">
        <v>1812037</v>
      </c>
      <c r="D40" s="39" t="s">
        <v>278</v>
      </c>
      <c r="E40" s="55">
        <f>69748+159375+7623+23169+36916+3894</f>
        <v>300725</v>
      </c>
      <c r="F40" s="55"/>
    </row>
    <row r="41" spans="2:6">
      <c r="B41" s="14">
        <v>43446</v>
      </c>
      <c r="C41" s="64">
        <v>1812038</v>
      </c>
      <c r="D41" s="39" t="s">
        <v>279</v>
      </c>
      <c r="E41" s="55">
        <f>12938+52728+5570+12844</f>
        <v>84080</v>
      </c>
      <c r="F41" s="55"/>
    </row>
    <row r="42" spans="2:6">
      <c r="B42" s="14">
        <v>43446</v>
      </c>
      <c r="C42" s="64">
        <v>1812039</v>
      </c>
      <c r="D42" s="39" t="s">
        <v>280</v>
      </c>
      <c r="E42" s="55">
        <f>50100+1652+21665</f>
        <v>73417</v>
      </c>
      <c r="F42" s="55"/>
    </row>
    <row r="43" spans="2:6">
      <c r="B43" s="14">
        <v>43447</v>
      </c>
      <c r="C43" s="64">
        <v>1812040</v>
      </c>
      <c r="D43" s="39" t="s">
        <v>267</v>
      </c>
      <c r="E43" s="55"/>
      <c r="F43" s="55">
        <v>5000</v>
      </c>
    </row>
    <row r="44" spans="2:6">
      <c r="B44" s="14">
        <v>43448</v>
      </c>
      <c r="C44" s="64">
        <v>1812041</v>
      </c>
      <c r="D44" s="39" t="s">
        <v>264</v>
      </c>
      <c r="E44" s="55"/>
      <c r="F44" s="55">
        <v>30000</v>
      </c>
    </row>
    <row r="45" spans="2:6">
      <c r="B45" s="14">
        <v>43448</v>
      </c>
      <c r="C45" s="76">
        <v>1812042</v>
      </c>
      <c r="D45" s="39" t="s">
        <v>281</v>
      </c>
      <c r="E45" s="55"/>
      <c r="F45" s="55">
        <v>4800</v>
      </c>
    </row>
    <row r="46" spans="2:6">
      <c r="B46" s="14">
        <v>43448</v>
      </c>
      <c r="C46" s="64">
        <v>1812043</v>
      </c>
      <c r="D46" s="39" t="s">
        <v>282</v>
      </c>
      <c r="E46" s="55"/>
      <c r="F46" s="55">
        <v>7500</v>
      </c>
    </row>
    <row r="47" spans="2:6">
      <c r="B47" s="14">
        <v>43448</v>
      </c>
      <c r="C47" s="64">
        <v>1812044</v>
      </c>
      <c r="D47" s="39" t="s">
        <v>283</v>
      </c>
      <c r="E47" s="55">
        <v>200000</v>
      </c>
      <c r="F47" s="55"/>
    </row>
    <row r="48" spans="2:6">
      <c r="B48" s="14">
        <v>43448</v>
      </c>
      <c r="C48" s="64">
        <v>1812045</v>
      </c>
      <c r="D48" s="39" t="s">
        <v>284</v>
      </c>
      <c r="E48" s="55">
        <v>8024</v>
      </c>
      <c r="F48" s="55"/>
    </row>
    <row r="49" spans="2:6">
      <c r="B49" s="14">
        <v>43448</v>
      </c>
      <c r="C49" s="64">
        <v>1812046</v>
      </c>
      <c r="D49" s="39" t="s">
        <v>153</v>
      </c>
      <c r="E49" s="55"/>
      <c r="F49" s="55">
        <v>1500</v>
      </c>
    </row>
    <row r="50" spans="2:6">
      <c r="B50" s="14">
        <v>43448</v>
      </c>
      <c r="C50" s="64">
        <v>1812047</v>
      </c>
      <c r="D50" s="39" t="s">
        <v>66</v>
      </c>
      <c r="E50" s="55"/>
      <c r="F50" s="55">
        <v>10000</v>
      </c>
    </row>
    <row r="51" spans="2:6">
      <c r="B51" s="14">
        <v>43448</v>
      </c>
      <c r="C51" s="64">
        <v>1812048</v>
      </c>
      <c r="D51" s="39" t="s">
        <v>285</v>
      </c>
      <c r="E51" s="55">
        <f>18980+46120+20726+11900+66180</f>
        <v>163906</v>
      </c>
      <c r="F51" s="55"/>
    </row>
    <row r="52" spans="2:6">
      <c r="B52" s="14">
        <v>43448</v>
      </c>
      <c r="C52" s="64">
        <v>1812049</v>
      </c>
      <c r="D52" s="39" t="s">
        <v>286</v>
      </c>
      <c r="E52" s="55">
        <f>4779+15446+146924+74883+22237+15440+22166+9021</f>
        <v>310896</v>
      </c>
      <c r="F52" s="55"/>
    </row>
    <row r="53" spans="2:6">
      <c r="B53" s="14">
        <v>43449</v>
      </c>
      <c r="C53" s="64">
        <v>1812050</v>
      </c>
      <c r="D53" s="39" t="s">
        <v>287</v>
      </c>
      <c r="E53" s="55"/>
      <c r="F53" s="55">
        <v>48000</v>
      </c>
    </row>
    <row r="54" spans="2:6">
      <c r="B54" s="14">
        <v>43451</v>
      </c>
      <c r="C54" s="64">
        <v>1812051</v>
      </c>
      <c r="D54" s="39" t="s">
        <v>288</v>
      </c>
      <c r="E54" s="55"/>
      <c r="F54" s="55">
        <v>50000</v>
      </c>
    </row>
    <row r="55" spans="2:6">
      <c r="B55" s="14">
        <v>43451</v>
      </c>
      <c r="C55" s="64">
        <v>1812052</v>
      </c>
      <c r="D55" s="39" t="s">
        <v>289</v>
      </c>
      <c r="E55" s="55"/>
      <c r="F55" s="55">
        <v>20000</v>
      </c>
    </row>
    <row r="56" spans="2:6">
      <c r="B56" s="14">
        <v>43451</v>
      </c>
      <c r="C56" s="64">
        <v>1812053</v>
      </c>
      <c r="D56" s="39" t="s">
        <v>290</v>
      </c>
      <c r="E56" s="55">
        <v>8118</v>
      </c>
      <c r="F56" s="55"/>
    </row>
    <row r="57" spans="2:6">
      <c r="B57" s="14">
        <v>43452</v>
      </c>
      <c r="C57" s="64">
        <v>1812054</v>
      </c>
      <c r="D57" s="39" t="s">
        <v>291</v>
      </c>
      <c r="E57" s="55">
        <f>25730+13390+27311+2360+15015</f>
        <v>83806</v>
      </c>
      <c r="F57" s="55"/>
    </row>
    <row r="58" spans="2:6">
      <c r="B58" s="14">
        <v>43452</v>
      </c>
      <c r="C58" s="64">
        <v>1812055</v>
      </c>
      <c r="D58" s="39" t="s">
        <v>292</v>
      </c>
      <c r="E58" s="55"/>
      <c r="F58" s="55">
        <v>14950</v>
      </c>
    </row>
    <row r="59" spans="2:6">
      <c r="B59" s="14">
        <v>43452</v>
      </c>
      <c r="C59" s="64">
        <v>1812056</v>
      </c>
      <c r="D59" s="39" t="s">
        <v>66</v>
      </c>
      <c r="E59" s="55"/>
      <c r="F59" s="55">
        <v>15000</v>
      </c>
    </row>
    <row r="60" spans="2:6">
      <c r="B60" s="14">
        <v>43452</v>
      </c>
      <c r="C60" s="64">
        <v>1812057</v>
      </c>
      <c r="D60" s="39" t="s">
        <v>293</v>
      </c>
      <c r="E60" s="55"/>
      <c r="F60" s="55">
        <v>14000</v>
      </c>
    </row>
    <row r="61" spans="2:6">
      <c r="B61" s="14">
        <v>43453</v>
      </c>
      <c r="C61" s="64">
        <v>1812058</v>
      </c>
      <c r="D61" s="39" t="s">
        <v>294</v>
      </c>
      <c r="E61" s="55"/>
      <c r="F61" s="55">
        <v>500</v>
      </c>
    </row>
    <row r="62" spans="2:6">
      <c r="B62" s="14">
        <v>43453</v>
      </c>
      <c r="C62" s="64">
        <v>1812059</v>
      </c>
      <c r="D62" s="39" t="s">
        <v>295</v>
      </c>
      <c r="E62" s="55"/>
      <c r="F62" s="55">
        <v>2145</v>
      </c>
    </row>
    <row r="63" spans="2:6">
      <c r="B63" s="14">
        <v>43453</v>
      </c>
      <c r="C63" s="64">
        <v>1812060</v>
      </c>
      <c r="D63" s="39" t="s">
        <v>66</v>
      </c>
      <c r="E63" s="55"/>
      <c r="F63" s="55">
        <v>5000</v>
      </c>
    </row>
    <row r="64" spans="2:6">
      <c r="B64" s="14">
        <v>43454</v>
      </c>
      <c r="C64" s="64">
        <v>1812061</v>
      </c>
      <c r="D64" s="39" t="s">
        <v>296</v>
      </c>
      <c r="E64" s="55"/>
      <c r="F64" s="55">
        <v>30100</v>
      </c>
    </row>
    <row r="65" spans="2:6">
      <c r="B65" s="14">
        <v>43454</v>
      </c>
      <c r="C65" s="64">
        <v>1812062</v>
      </c>
      <c r="D65" s="39" t="s">
        <v>297</v>
      </c>
      <c r="E65" s="55"/>
      <c r="F65" s="55">
        <v>2000</v>
      </c>
    </row>
    <row r="66" spans="2:6">
      <c r="B66" s="14">
        <v>43454</v>
      </c>
      <c r="C66" s="64">
        <v>1812063</v>
      </c>
      <c r="D66" s="39" t="s">
        <v>66</v>
      </c>
      <c r="E66" s="55"/>
      <c r="F66" s="55">
        <v>15000</v>
      </c>
    </row>
    <row r="67" spans="2:6">
      <c r="B67" s="14">
        <v>43454</v>
      </c>
      <c r="C67" s="64">
        <v>1812064</v>
      </c>
      <c r="D67" s="39" t="s">
        <v>298</v>
      </c>
      <c r="E67" s="55">
        <f>3115+20034+15000+9682+4154+12372+23204</f>
        <v>87561</v>
      </c>
      <c r="F67" s="55"/>
    </row>
    <row r="68" spans="2:6">
      <c r="B68" s="14">
        <v>43455</v>
      </c>
      <c r="C68" s="64">
        <v>1812065</v>
      </c>
      <c r="D68" s="39" t="s">
        <v>258</v>
      </c>
      <c r="E68" s="55"/>
      <c r="F68" s="55">
        <v>5000</v>
      </c>
    </row>
    <row r="69" spans="2:6">
      <c r="B69" s="14">
        <v>43456</v>
      </c>
      <c r="C69" s="64">
        <v>1812066</v>
      </c>
      <c r="D69" s="39" t="s">
        <v>299</v>
      </c>
      <c r="E69" s="55"/>
      <c r="F69" s="55">
        <v>14000</v>
      </c>
    </row>
    <row r="70" spans="2:6">
      <c r="B70" s="14">
        <v>43458</v>
      </c>
      <c r="C70" s="64">
        <v>1812067</v>
      </c>
      <c r="D70" s="39" t="s">
        <v>300</v>
      </c>
      <c r="E70" s="55"/>
      <c r="F70" s="55">
        <v>14962</v>
      </c>
    </row>
    <row r="71" spans="2:6">
      <c r="B71" s="14">
        <v>43458</v>
      </c>
      <c r="C71" s="64">
        <v>1812068</v>
      </c>
      <c r="D71" s="39" t="s">
        <v>250</v>
      </c>
      <c r="E71" s="55"/>
      <c r="F71" s="55">
        <v>120000</v>
      </c>
    </row>
    <row r="72" spans="2:6">
      <c r="B72" s="14">
        <v>43458</v>
      </c>
      <c r="C72" s="76">
        <v>1812069</v>
      </c>
      <c r="D72" s="39" t="s">
        <v>301</v>
      </c>
      <c r="E72" s="55"/>
      <c r="F72" s="55">
        <v>114000</v>
      </c>
    </row>
    <row r="73" spans="2:6">
      <c r="B73" s="14">
        <v>43458</v>
      </c>
      <c r="C73" s="76">
        <v>1812070</v>
      </c>
      <c r="D73" s="39" t="s">
        <v>302</v>
      </c>
      <c r="E73" s="55"/>
      <c r="F73" s="55">
        <v>62652</v>
      </c>
    </row>
    <row r="74" spans="2:6">
      <c r="B74" s="14">
        <v>43458</v>
      </c>
      <c r="C74" s="76">
        <v>1812071</v>
      </c>
      <c r="D74" s="39" t="s">
        <v>264</v>
      </c>
      <c r="E74" s="55"/>
      <c r="F74" s="55">
        <v>15000</v>
      </c>
    </row>
    <row r="75" spans="2:6">
      <c r="B75" s="14">
        <v>43458</v>
      </c>
      <c r="C75" s="76">
        <v>1812072</v>
      </c>
      <c r="D75" s="39" t="s">
        <v>303</v>
      </c>
      <c r="E75" s="55">
        <f>15647+62697+14904+23995+19216+24644+4505+4885+11428</f>
        <v>181921</v>
      </c>
      <c r="F75" s="55"/>
    </row>
    <row r="76" spans="2:6">
      <c r="B76" s="14">
        <v>43460</v>
      </c>
      <c r="C76" s="76">
        <v>1812073</v>
      </c>
      <c r="D76" s="39" t="s">
        <v>66</v>
      </c>
      <c r="E76" s="55"/>
      <c r="F76" s="55">
        <v>20000</v>
      </c>
    </row>
    <row r="77" spans="2:6">
      <c r="B77" s="14">
        <v>43460</v>
      </c>
      <c r="C77" s="76">
        <v>1812074</v>
      </c>
      <c r="D77" s="39" t="s">
        <v>196</v>
      </c>
      <c r="E77" s="55"/>
      <c r="F77" s="55">
        <v>12000</v>
      </c>
    </row>
    <row r="78" spans="2:6">
      <c r="B78" s="14">
        <v>43461</v>
      </c>
      <c r="C78" s="76">
        <v>1812075</v>
      </c>
      <c r="D78" s="39" t="s">
        <v>304</v>
      </c>
      <c r="E78" s="55"/>
      <c r="F78" s="55">
        <v>98430</v>
      </c>
    </row>
    <row r="79" spans="2:6">
      <c r="B79" s="14">
        <v>43461</v>
      </c>
      <c r="C79" s="76">
        <v>1812076</v>
      </c>
      <c r="D79" s="39" t="s">
        <v>306</v>
      </c>
      <c r="E79" s="55"/>
      <c r="F79" s="55">
        <v>49429</v>
      </c>
    </row>
    <row r="80" spans="2:6">
      <c r="B80" s="14">
        <v>43461</v>
      </c>
      <c r="C80" s="76">
        <v>1812077</v>
      </c>
      <c r="D80" s="39" t="s">
        <v>307</v>
      </c>
      <c r="E80" s="55"/>
      <c r="F80" s="55">
        <v>40000</v>
      </c>
    </row>
    <row r="81" spans="2:9">
      <c r="B81" s="14">
        <v>43461</v>
      </c>
      <c r="C81" s="76">
        <v>1812078</v>
      </c>
      <c r="D81" s="39" t="s">
        <v>308</v>
      </c>
      <c r="E81" s="55">
        <f>33603+4036+20703+9508+18451</f>
        <v>86301</v>
      </c>
      <c r="F81" s="55"/>
    </row>
    <row r="82" spans="2:9">
      <c r="B82" s="14">
        <v>43461</v>
      </c>
      <c r="C82" s="76">
        <v>1812079</v>
      </c>
      <c r="D82" s="39" t="s">
        <v>309</v>
      </c>
      <c r="E82" s="55">
        <v>28420</v>
      </c>
      <c r="F82" s="55"/>
    </row>
    <row r="83" spans="2:9">
      <c r="B83" s="14">
        <v>43462</v>
      </c>
      <c r="C83" s="76">
        <v>1812080</v>
      </c>
      <c r="D83" s="39" t="s">
        <v>310</v>
      </c>
      <c r="E83" s="55">
        <v>138250</v>
      </c>
      <c r="F83" s="55"/>
    </row>
    <row r="84" spans="2:9">
      <c r="B84" s="14">
        <v>43463</v>
      </c>
      <c r="C84" s="76">
        <v>1812081</v>
      </c>
      <c r="D84" s="39" t="s">
        <v>311</v>
      </c>
      <c r="E84" s="55">
        <v>323789</v>
      </c>
      <c r="F84" s="55"/>
    </row>
    <row r="85" spans="2:9">
      <c r="B85" s="14">
        <v>43465</v>
      </c>
      <c r="C85" s="76">
        <v>1812082</v>
      </c>
      <c r="D85" s="39" t="s">
        <v>66</v>
      </c>
      <c r="E85" s="55"/>
      <c r="F85" s="55">
        <v>10000</v>
      </c>
    </row>
    <row r="86" spans="2:9" ht="15.75">
      <c r="B86" s="14"/>
      <c r="C86" s="11"/>
      <c r="D86" s="12"/>
      <c r="E86" s="55"/>
      <c r="F86" s="55"/>
    </row>
    <row r="87" spans="2:9" ht="15.75">
      <c r="B87" s="14"/>
      <c r="C87" s="15"/>
      <c r="D87" s="16"/>
      <c r="E87" s="55"/>
      <c r="F87" s="55"/>
    </row>
    <row r="88" spans="2:9" ht="15.75">
      <c r="B88" s="14"/>
      <c r="C88" s="11"/>
      <c r="D88" s="12"/>
      <c r="E88" s="55"/>
      <c r="F88" s="55"/>
    </row>
    <row r="89" spans="2:9" ht="15.75">
      <c r="B89" s="14"/>
      <c r="C89" s="15"/>
      <c r="D89" s="12"/>
      <c r="E89" s="55"/>
      <c r="F89" s="55"/>
    </row>
    <row r="90" spans="2:9" ht="15.75">
      <c r="B90" s="14"/>
      <c r="C90" s="11"/>
      <c r="D90" s="12"/>
      <c r="E90" s="55"/>
      <c r="F90" s="55"/>
    </row>
    <row r="91" spans="2:9" ht="15.75">
      <c r="B91" s="14"/>
      <c r="C91" s="15"/>
      <c r="D91" s="12"/>
      <c r="E91" s="55"/>
      <c r="F91" s="55"/>
    </row>
    <row r="92" spans="2:9" ht="15.75">
      <c r="B92" s="6"/>
      <c r="C92" s="35"/>
      <c r="D92" s="34"/>
      <c r="E92" s="55"/>
      <c r="F92" s="55"/>
      <c r="H92" s="30"/>
    </row>
    <row r="93" spans="2:9" ht="15.75">
      <c r="B93" s="14"/>
      <c r="C93" s="15"/>
      <c r="D93" s="12"/>
      <c r="E93" s="55"/>
      <c r="F93" s="55"/>
      <c r="H93" s="30"/>
      <c r="I93" s="30"/>
    </row>
    <row r="94" spans="2:9" ht="15.75">
      <c r="B94" s="14"/>
      <c r="C94" s="11"/>
      <c r="D94" s="12"/>
      <c r="E94" s="55"/>
      <c r="F94" s="55"/>
      <c r="H94" s="30"/>
      <c r="I94" s="30"/>
    </row>
    <row r="95" spans="2:9" ht="15.75">
      <c r="B95" s="14"/>
      <c r="C95" s="15"/>
      <c r="D95" s="12"/>
      <c r="E95" s="55"/>
      <c r="F95" s="55"/>
    </row>
    <row r="96" spans="2:9" ht="15.75">
      <c r="B96" s="14"/>
      <c r="C96" s="11"/>
      <c r="D96" s="12"/>
      <c r="E96" s="55"/>
      <c r="F96" s="55"/>
    </row>
    <row r="97" spans="2:11" ht="15.75">
      <c r="B97" s="14"/>
      <c r="C97" s="15"/>
      <c r="D97" s="16"/>
      <c r="E97" s="55"/>
      <c r="F97" s="55"/>
    </row>
    <row r="98" spans="2:11" ht="15.75">
      <c r="B98" s="14"/>
      <c r="C98" s="11"/>
      <c r="D98" s="12"/>
      <c r="E98" s="55"/>
      <c r="F98" s="55"/>
    </row>
    <row r="99" spans="2:11" ht="15.75">
      <c r="B99" s="14"/>
      <c r="C99" s="15"/>
      <c r="D99" s="16"/>
      <c r="E99" s="55"/>
      <c r="F99" s="55"/>
      <c r="I99" s="38"/>
      <c r="J99" s="48" t="s">
        <v>19</v>
      </c>
      <c r="K99" s="39"/>
    </row>
    <row r="100" spans="2:11" ht="15.75">
      <c r="B100" s="14"/>
      <c r="C100" s="11"/>
      <c r="D100" s="34"/>
      <c r="E100" s="55"/>
      <c r="F100" s="55"/>
      <c r="I100" s="8">
        <v>2017</v>
      </c>
      <c r="J100" s="36" t="s">
        <v>20</v>
      </c>
      <c r="K100" s="24">
        <v>50000</v>
      </c>
    </row>
    <row r="101" spans="2:11" ht="15.75">
      <c r="B101" s="14"/>
      <c r="C101" s="15"/>
      <c r="D101" s="12"/>
      <c r="E101" s="55"/>
      <c r="F101" s="55"/>
      <c r="I101" s="8">
        <v>2017</v>
      </c>
      <c r="J101" s="36" t="s">
        <v>21</v>
      </c>
      <c r="K101" s="24">
        <v>25000</v>
      </c>
    </row>
    <row r="102" spans="2:11" ht="15.75">
      <c r="B102" s="14"/>
      <c r="C102" s="11"/>
      <c r="D102" s="12"/>
      <c r="E102" s="55"/>
      <c r="F102" s="55"/>
      <c r="I102" s="51">
        <v>43112</v>
      </c>
      <c r="J102" s="36" t="s">
        <v>14</v>
      </c>
      <c r="K102" s="24">
        <v>15000</v>
      </c>
    </row>
    <row r="103" spans="2:11" ht="15.75">
      <c r="B103" s="14"/>
      <c r="C103" s="15"/>
      <c r="D103" s="12"/>
      <c r="E103" s="55"/>
      <c r="F103" s="55"/>
      <c r="I103" s="51">
        <v>43196</v>
      </c>
      <c r="J103" s="36" t="s">
        <v>25</v>
      </c>
      <c r="K103" s="24">
        <v>18000</v>
      </c>
    </row>
    <row r="104" spans="2:11" ht="15.75">
      <c r="B104" s="14"/>
      <c r="C104" s="11"/>
      <c r="D104" s="12"/>
      <c r="E104" s="55"/>
      <c r="F104" s="55"/>
      <c r="I104" s="51">
        <v>43246</v>
      </c>
      <c r="J104" s="36" t="s">
        <v>32</v>
      </c>
      <c r="K104" s="24">
        <v>20000</v>
      </c>
    </row>
    <row r="105" spans="2:11" ht="15.75">
      <c r="B105" s="14"/>
      <c r="C105" s="15"/>
      <c r="D105" s="12"/>
      <c r="E105" s="55"/>
      <c r="F105" s="55"/>
      <c r="I105" s="51">
        <v>43347</v>
      </c>
      <c r="J105" s="32" t="s">
        <v>150</v>
      </c>
      <c r="K105" s="24">
        <v>130000</v>
      </c>
    </row>
    <row r="106" spans="2:11" ht="15.75">
      <c r="B106" s="14"/>
      <c r="C106" s="11"/>
      <c r="D106" s="12"/>
      <c r="E106" s="55"/>
      <c r="F106" s="55"/>
      <c r="I106" s="51">
        <v>43350</v>
      </c>
      <c r="J106" s="36" t="s">
        <v>149</v>
      </c>
      <c r="K106" s="24">
        <v>100000</v>
      </c>
    </row>
    <row r="107" spans="2:11" ht="15.75">
      <c r="B107" s="14"/>
      <c r="C107" s="15"/>
      <c r="D107" s="12"/>
      <c r="E107" s="55"/>
      <c r="F107" s="55"/>
      <c r="I107" s="51">
        <v>43369</v>
      </c>
      <c r="J107" s="36" t="s">
        <v>150</v>
      </c>
      <c r="K107" s="31">
        <v>18000</v>
      </c>
    </row>
    <row r="108" spans="2:11" ht="15.75">
      <c r="B108" s="14"/>
      <c r="C108" s="11"/>
      <c r="D108" s="16"/>
      <c r="E108" s="55"/>
      <c r="F108" s="55"/>
      <c r="I108" s="51">
        <v>43431</v>
      </c>
      <c r="J108" s="36" t="s">
        <v>166</v>
      </c>
      <c r="K108" s="24">
        <v>10000</v>
      </c>
    </row>
    <row r="109" spans="2:11" ht="15.75">
      <c r="B109" s="14"/>
      <c r="C109" s="11"/>
      <c r="D109" s="16"/>
      <c r="E109" s="55"/>
      <c r="F109" s="55"/>
      <c r="I109" s="51">
        <v>43461</v>
      </c>
      <c r="J109" s="36" t="s">
        <v>305</v>
      </c>
      <c r="K109" s="24">
        <v>24500</v>
      </c>
    </row>
    <row r="110" spans="2:11" ht="15.75">
      <c r="B110" s="14"/>
      <c r="C110" s="15"/>
      <c r="D110" s="12"/>
      <c r="E110" s="55"/>
      <c r="F110" s="55"/>
      <c r="I110" s="56"/>
      <c r="J110" s="57"/>
      <c r="K110" s="31">
        <f>SUM(K100:K109)</f>
        <v>410500</v>
      </c>
    </row>
    <row r="111" spans="2:11" ht="15.75">
      <c r="B111" s="14"/>
      <c r="C111" s="11"/>
      <c r="D111" s="16"/>
      <c r="E111" s="55"/>
      <c r="F111" s="55"/>
      <c r="I111" s="56"/>
      <c r="J111" s="57"/>
      <c r="K111" s="45"/>
    </row>
    <row r="112" spans="2:11" ht="15.75">
      <c r="B112" s="14"/>
      <c r="C112" s="15"/>
      <c r="D112" s="12"/>
      <c r="E112" s="55"/>
      <c r="F112" s="55"/>
      <c r="I112" s="52"/>
      <c r="J112" s="48" t="s">
        <v>37</v>
      </c>
      <c r="K112" s="24"/>
    </row>
    <row r="113" spans="2:13" ht="15.75">
      <c r="B113" s="14"/>
      <c r="C113" s="11"/>
      <c r="D113" s="16"/>
      <c r="E113" s="55"/>
      <c r="F113" s="55"/>
      <c r="K113" s="63">
        <v>821850</v>
      </c>
    </row>
    <row r="114" spans="2:13" ht="15.75">
      <c r="B114" s="14"/>
      <c r="C114" s="15"/>
      <c r="D114" s="12"/>
      <c r="E114" s="55"/>
      <c r="F114" s="55"/>
    </row>
    <row r="115" spans="2:13" ht="15.75">
      <c r="B115" s="14"/>
      <c r="C115" s="11"/>
      <c r="D115" s="12"/>
      <c r="E115" s="55"/>
      <c r="F115" s="55"/>
      <c r="J115" s="59" t="s">
        <v>38</v>
      </c>
      <c r="K115" s="58">
        <f>'OCTOBRE 2018'!F67-K110-K113</f>
        <v>-2698487</v>
      </c>
    </row>
    <row r="116" spans="2:13" ht="15.75">
      <c r="B116" s="14"/>
      <c r="C116" s="15"/>
      <c r="D116" s="16"/>
      <c r="E116" s="55"/>
      <c r="F116" s="55"/>
    </row>
    <row r="117" spans="2:13" ht="15.75">
      <c r="B117" s="14"/>
      <c r="C117" s="11"/>
      <c r="D117" s="12"/>
      <c r="E117" s="55"/>
      <c r="F117" s="55"/>
    </row>
    <row r="118" spans="2:13" ht="15.75">
      <c r="B118" s="14"/>
      <c r="C118" s="15"/>
      <c r="D118" s="16"/>
      <c r="E118" s="55"/>
      <c r="F118" s="55"/>
      <c r="I118" s="14">
        <v>43413</v>
      </c>
      <c r="J118" s="62"/>
      <c r="K118" s="12" t="s">
        <v>165</v>
      </c>
      <c r="L118" s="26"/>
      <c r="M118" s="26">
        <v>100000</v>
      </c>
    </row>
    <row r="119" spans="2:13" ht="15.75">
      <c r="B119" s="18"/>
      <c r="C119" s="19"/>
      <c r="D119" s="20"/>
      <c r="E119" s="55">
        <f>SUM(E3:E118)</f>
        <v>2726924</v>
      </c>
      <c r="F119" s="55">
        <f>SUM(F3:F118)</f>
        <v>2323722</v>
      </c>
    </row>
    <row r="120" spans="2:13">
      <c r="B120" s="5"/>
      <c r="C120" s="27"/>
    </row>
    <row r="121" spans="2:13">
      <c r="B121" s="5"/>
      <c r="C121" s="27"/>
      <c r="E121" s="21" t="s">
        <v>6</v>
      </c>
      <c r="F121" s="55">
        <f>E119-F119</f>
        <v>403202</v>
      </c>
    </row>
  </sheetData>
  <printOptions horizontalCentered="1" verticalCentered="1"/>
  <pageMargins left="0" right="0" top="0" bottom="0" header="0" footer="0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90"/>
  <sheetViews>
    <sheetView topLeftCell="A76" workbookViewId="0">
      <selection activeCell="I94" sqref="I94"/>
    </sheetView>
  </sheetViews>
  <sheetFormatPr baseColWidth="10" defaultRowHeight="15"/>
  <cols>
    <col min="2" max="2" width="9.85546875" style="5" customWidth="1"/>
    <col min="3" max="3" width="13.85546875" style="27" customWidth="1"/>
    <col min="4" max="4" width="47.85546875" bestFit="1" customWidth="1"/>
    <col min="5" max="6" width="14.140625" bestFit="1" customWidth="1"/>
    <col min="9" max="9" width="21.7109375" bestFit="1" customWidth="1"/>
    <col min="10" max="10" width="11.7109375" bestFit="1" customWidth="1"/>
  </cols>
  <sheetData>
    <row r="2" spans="2:9" s="5" customFormat="1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9">
      <c r="B3" s="6">
        <v>43497</v>
      </c>
      <c r="C3" s="22"/>
      <c r="D3" s="8" t="s">
        <v>339</v>
      </c>
      <c r="E3" s="24">
        <f>'JANVIER 2019'!F83</f>
        <v>1219157</v>
      </c>
      <c r="F3" s="24"/>
      <c r="G3" s="1"/>
      <c r="H3" s="1"/>
      <c r="I3" s="1"/>
    </row>
    <row r="4" spans="2:9" ht="15.75">
      <c r="B4" s="14">
        <v>43497</v>
      </c>
      <c r="C4" s="11">
        <v>1902001</v>
      </c>
      <c r="D4" s="39" t="s">
        <v>368</v>
      </c>
      <c r="E4" s="17"/>
      <c r="F4" s="17">
        <v>30000</v>
      </c>
      <c r="I4" s="1"/>
    </row>
    <row r="5" spans="2:9" ht="15.75">
      <c r="B5" s="14">
        <v>43497</v>
      </c>
      <c r="C5" s="11">
        <v>1902002</v>
      </c>
      <c r="D5" s="39" t="s">
        <v>14</v>
      </c>
      <c r="E5" s="17"/>
      <c r="F5" s="17">
        <v>15000</v>
      </c>
    </row>
    <row r="6" spans="2:9" ht="15.75">
      <c r="B6" s="14">
        <v>43497</v>
      </c>
      <c r="C6" s="11">
        <v>1902003</v>
      </c>
      <c r="D6" s="39" t="s">
        <v>14</v>
      </c>
      <c r="E6" s="17"/>
      <c r="F6" s="17">
        <v>10000</v>
      </c>
    </row>
    <row r="7" spans="2:9" ht="15.75">
      <c r="B7" s="14">
        <v>43497</v>
      </c>
      <c r="C7" s="11">
        <v>1902004</v>
      </c>
      <c r="D7" s="39" t="s">
        <v>369</v>
      </c>
      <c r="E7" s="17"/>
      <c r="F7" s="17">
        <v>130000</v>
      </c>
    </row>
    <row r="8" spans="2:9" ht="15.75">
      <c r="B8" s="14">
        <v>43497</v>
      </c>
      <c r="C8" s="11">
        <v>1902005</v>
      </c>
      <c r="D8" s="39" t="s">
        <v>370</v>
      </c>
      <c r="E8" s="17"/>
      <c r="F8" s="17">
        <v>21120</v>
      </c>
    </row>
    <row r="9" spans="2:9" ht="15.75">
      <c r="B9" s="14">
        <v>43497</v>
      </c>
      <c r="C9" s="11">
        <v>1902006</v>
      </c>
      <c r="D9" s="39" t="s">
        <v>371</v>
      </c>
      <c r="E9" s="17">
        <f>10484+5900+75325+31139+29709+69012</f>
        <v>221569</v>
      </c>
      <c r="F9" s="17"/>
    </row>
    <row r="10" spans="2:9" ht="15.75">
      <c r="B10" s="14">
        <v>43497</v>
      </c>
      <c r="C10" s="11">
        <v>1902007</v>
      </c>
      <c r="D10" s="39" t="s">
        <v>372</v>
      </c>
      <c r="E10" s="17"/>
      <c r="F10" s="17">
        <v>5000</v>
      </c>
    </row>
    <row r="11" spans="2:9" ht="15.75">
      <c r="B11" s="14">
        <v>43500</v>
      </c>
      <c r="C11" s="11">
        <v>1902008</v>
      </c>
      <c r="D11" s="39" t="s">
        <v>428</v>
      </c>
      <c r="E11" s="17"/>
      <c r="F11" s="17">
        <v>30000</v>
      </c>
    </row>
    <row r="12" spans="2:9" ht="15.75">
      <c r="B12" s="14">
        <v>43500</v>
      </c>
      <c r="C12" s="11">
        <v>1902009</v>
      </c>
      <c r="D12" s="39" t="s">
        <v>134</v>
      </c>
      <c r="E12" s="17"/>
      <c r="F12" s="17">
        <v>20000</v>
      </c>
    </row>
    <row r="13" spans="2:9" ht="15.75">
      <c r="B13" s="14">
        <v>43500</v>
      </c>
      <c r="C13" s="11">
        <v>1902010</v>
      </c>
      <c r="D13" s="39" t="s">
        <v>373</v>
      </c>
      <c r="E13" s="17"/>
      <c r="F13" s="17">
        <v>3540</v>
      </c>
    </row>
    <row r="14" spans="2:9" ht="15.75">
      <c r="B14" s="14">
        <v>43500</v>
      </c>
      <c r="C14" s="11">
        <v>1902011</v>
      </c>
      <c r="D14" s="39" t="s">
        <v>374</v>
      </c>
      <c r="E14" s="17">
        <f>16540+51253+5788+15847</f>
        <v>89428</v>
      </c>
      <c r="F14" s="17"/>
    </row>
    <row r="15" spans="2:9" ht="15.75">
      <c r="B15" s="14">
        <v>43501</v>
      </c>
      <c r="C15" s="11">
        <v>1902012</v>
      </c>
      <c r="D15" s="39" t="s">
        <v>375</v>
      </c>
      <c r="E15" s="17"/>
      <c r="F15" s="17">
        <v>30000</v>
      </c>
    </row>
    <row r="16" spans="2:9" ht="15.75">
      <c r="B16" s="14">
        <v>43501</v>
      </c>
      <c r="C16" s="11">
        <v>1902013</v>
      </c>
      <c r="D16" s="39" t="s">
        <v>293</v>
      </c>
      <c r="E16" s="17"/>
      <c r="F16" s="17">
        <v>11500</v>
      </c>
    </row>
    <row r="17" spans="2:9" ht="15.75">
      <c r="B17" s="14">
        <v>43501</v>
      </c>
      <c r="C17" s="11">
        <v>1902014</v>
      </c>
      <c r="D17" s="39" t="s">
        <v>376</v>
      </c>
      <c r="E17" s="17">
        <f>6953+10526+27478+13788+18154</f>
        <v>76899</v>
      </c>
      <c r="F17" s="17"/>
    </row>
    <row r="18" spans="2:9" ht="15.75">
      <c r="B18" s="14">
        <v>43502</v>
      </c>
      <c r="C18" s="11">
        <v>1902015</v>
      </c>
      <c r="D18" s="39" t="s">
        <v>293</v>
      </c>
      <c r="E18" s="17"/>
      <c r="F18" s="17">
        <v>11000</v>
      </c>
      <c r="H18" s="1"/>
      <c r="I18" s="1"/>
    </row>
    <row r="19" spans="2:9" ht="15.75">
      <c r="B19" s="14">
        <v>43502</v>
      </c>
      <c r="C19" s="11">
        <v>1902016</v>
      </c>
      <c r="D19" s="39" t="s">
        <v>377</v>
      </c>
      <c r="E19" s="17"/>
      <c r="F19" s="17">
        <v>200000</v>
      </c>
      <c r="H19" s="1"/>
      <c r="I19" s="1"/>
    </row>
    <row r="20" spans="2:9" ht="15.75">
      <c r="B20" s="14">
        <v>43502</v>
      </c>
      <c r="C20" s="11">
        <v>1902017</v>
      </c>
      <c r="D20" s="39" t="s">
        <v>378</v>
      </c>
      <c r="E20" s="17">
        <f>5115+49926+6354</f>
        <v>61395</v>
      </c>
      <c r="F20" s="17"/>
      <c r="H20" s="1"/>
      <c r="I20" s="1"/>
    </row>
    <row r="21" spans="2:9" ht="15.75">
      <c r="B21" s="14">
        <v>43503</v>
      </c>
      <c r="C21" s="11">
        <v>1902018</v>
      </c>
      <c r="D21" s="39" t="s">
        <v>134</v>
      </c>
      <c r="E21" s="17"/>
      <c r="F21" s="17">
        <v>20000</v>
      </c>
      <c r="H21" s="1"/>
      <c r="I21" s="1"/>
    </row>
    <row r="22" spans="2:9" ht="15.75">
      <c r="B22" s="14">
        <v>43503</v>
      </c>
      <c r="C22" s="11">
        <v>1902019</v>
      </c>
      <c r="D22" s="39" t="s">
        <v>379</v>
      </c>
      <c r="E22" s="17">
        <f>9909+195503+66299+4514+29128+6760</f>
        <v>312113</v>
      </c>
      <c r="F22" s="17"/>
      <c r="H22" s="1"/>
      <c r="I22" s="1"/>
    </row>
    <row r="23" spans="2:9" ht="15.75">
      <c r="B23" s="14">
        <v>43503</v>
      </c>
      <c r="C23" s="11">
        <v>1902020</v>
      </c>
      <c r="D23" s="39" t="s">
        <v>380</v>
      </c>
      <c r="E23" s="17">
        <v>182309</v>
      </c>
      <c r="F23" s="17"/>
      <c r="H23" s="1"/>
      <c r="I23" s="1"/>
    </row>
    <row r="24" spans="2:9" ht="15.75">
      <c r="B24" s="14">
        <v>43505</v>
      </c>
      <c r="C24" s="11">
        <v>1902021</v>
      </c>
      <c r="D24" s="39" t="s">
        <v>381</v>
      </c>
      <c r="E24" s="17">
        <f>25116+7372+17092+18697+52610+22756+9068</f>
        <v>152711</v>
      </c>
      <c r="F24" s="17"/>
      <c r="G24" s="30"/>
      <c r="H24" s="37"/>
      <c r="I24" s="1"/>
    </row>
    <row r="25" spans="2:9" ht="15.75">
      <c r="B25" s="14">
        <v>43507</v>
      </c>
      <c r="C25" s="11">
        <v>1902022</v>
      </c>
      <c r="D25" s="39" t="s">
        <v>382</v>
      </c>
      <c r="E25" s="17"/>
      <c r="F25" s="17">
        <v>40000</v>
      </c>
      <c r="H25" s="1"/>
      <c r="I25" s="1"/>
    </row>
    <row r="26" spans="2:9" ht="15.75">
      <c r="B26" s="14">
        <v>43507</v>
      </c>
      <c r="C26" s="11">
        <v>1902023</v>
      </c>
      <c r="D26" s="39" t="s">
        <v>383</v>
      </c>
      <c r="E26" s="17"/>
      <c r="F26" s="17">
        <v>15000</v>
      </c>
      <c r="H26" s="1"/>
      <c r="I26" s="1"/>
    </row>
    <row r="27" spans="2:9" ht="15.75">
      <c r="B27" s="14">
        <v>43507</v>
      </c>
      <c r="C27" s="11">
        <v>1902024</v>
      </c>
      <c r="D27" s="39" t="s">
        <v>46</v>
      </c>
      <c r="E27" s="17"/>
      <c r="F27" s="17">
        <v>3500</v>
      </c>
      <c r="H27" s="1"/>
      <c r="I27" s="1"/>
    </row>
    <row r="28" spans="2:9" ht="15.75">
      <c r="B28" s="14">
        <v>43507</v>
      </c>
      <c r="C28" s="11">
        <v>1902025</v>
      </c>
      <c r="D28" s="39" t="s">
        <v>134</v>
      </c>
      <c r="E28" s="17"/>
      <c r="F28" s="17">
        <v>20000</v>
      </c>
      <c r="H28" s="1"/>
      <c r="I28" s="1"/>
    </row>
    <row r="29" spans="2:9" ht="15.75">
      <c r="B29" s="14">
        <v>43507</v>
      </c>
      <c r="C29" s="11">
        <v>1902026</v>
      </c>
      <c r="D29" s="39" t="s">
        <v>293</v>
      </c>
      <c r="E29" s="17"/>
      <c r="F29" s="17">
        <v>7500</v>
      </c>
      <c r="H29" s="1"/>
      <c r="I29" s="1"/>
    </row>
    <row r="30" spans="2:9" ht="15.75">
      <c r="B30" s="14">
        <v>43507</v>
      </c>
      <c r="C30" s="11">
        <v>1902027</v>
      </c>
      <c r="D30" s="39" t="s">
        <v>384</v>
      </c>
      <c r="E30" s="17"/>
      <c r="F30" s="17">
        <v>31000</v>
      </c>
      <c r="H30" s="1"/>
      <c r="I30" s="1"/>
    </row>
    <row r="31" spans="2:9" ht="15.75">
      <c r="B31" s="14">
        <v>43507</v>
      </c>
      <c r="C31" s="11">
        <v>1902028</v>
      </c>
      <c r="D31" s="39" t="s">
        <v>385</v>
      </c>
      <c r="E31" s="17"/>
      <c r="F31" s="17">
        <v>10800</v>
      </c>
      <c r="H31" s="1"/>
      <c r="I31" s="1"/>
    </row>
    <row r="32" spans="2:9" ht="15.75">
      <c r="B32" s="14">
        <v>43507</v>
      </c>
      <c r="C32" s="11">
        <v>1902029</v>
      </c>
      <c r="D32" s="39" t="s">
        <v>386</v>
      </c>
      <c r="E32" s="17"/>
      <c r="F32" s="17">
        <v>20000</v>
      </c>
      <c r="H32" s="1"/>
      <c r="I32" s="1"/>
    </row>
    <row r="33" spans="2:9" ht="15.75">
      <c r="B33" s="14">
        <v>43507</v>
      </c>
      <c r="C33" s="11">
        <v>1902030</v>
      </c>
      <c r="D33" s="39" t="s">
        <v>387</v>
      </c>
      <c r="E33" s="17"/>
      <c r="F33" s="17">
        <v>500</v>
      </c>
      <c r="H33" s="1"/>
      <c r="I33" s="1"/>
    </row>
    <row r="34" spans="2:9" ht="15.75">
      <c r="B34" s="14">
        <v>43507</v>
      </c>
      <c r="C34" s="11">
        <v>1902031</v>
      </c>
      <c r="D34" s="39" t="s">
        <v>388</v>
      </c>
      <c r="E34" s="17">
        <f>15676</f>
        <v>15676</v>
      </c>
      <c r="F34" s="17"/>
      <c r="H34" s="1"/>
      <c r="I34" s="1"/>
    </row>
    <row r="35" spans="2:9" ht="15.75">
      <c r="B35" s="14">
        <v>43508</v>
      </c>
      <c r="C35" s="11">
        <v>1902032</v>
      </c>
      <c r="D35" s="39" t="s">
        <v>293</v>
      </c>
      <c r="E35" s="17"/>
      <c r="F35" s="17">
        <v>14200</v>
      </c>
      <c r="H35" s="1"/>
      <c r="I35" s="1"/>
    </row>
    <row r="36" spans="2:9" ht="15.75">
      <c r="B36" s="14">
        <v>43508</v>
      </c>
      <c r="C36" s="11">
        <v>1902033</v>
      </c>
      <c r="D36" s="39" t="s">
        <v>389</v>
      </c>
      <c r="E36" s="17"/>
      <c r="F36" s="17">
        <v>20000</v>
      </c>
      <c r="H36" s="1"/>
      <c r="I36" s="1"/>
    </row>
    <row r="37" spans="2:9" ht="15.75">
      <c r="B37" s="14">
        <v>43508</v>
      </c>
      <c r="C37" s="11">
        <v>1902034</v>
      </c>
      <c r="D37" s="39" t="s">
        <v>30</v>
      </c>
      <c r="E37" s="17"/>
      <c r="F37" s="17">
        <v>31370</v>
      </c>
      <c r="H37" s="1"/>
      <c r="I37" s="1"/>
    </row>
    <row r="38" spans="2:9" ht="15.75">
      <c r="B38" s="14">
        <v>43508</v>
      </c>
      <c r="C38" s="11">
        <v>1902035</v>
      </c>
      <c r="D38" s="39" t="s">
        <v>390</v>
      </c>
      <c r="E38" s="17"/>
      <c r="F38" s="17">
        <v>2000</v>
      </c>
      <c r="H38" s="1"/>
      <c r="I38" s="1"/>
    </row>
    <row r="39" spans="2:9" ht="15.75">
      <c r="B39" s="14">
        <v>43508</v>
      </c>
      <c r="C39" s="11">
        <v>1902036</v>
      </c>
      <c r="D39" s="39" t="s">
        <v>391</v>
      </c>
      <c r="E39" s="17"/>
      <c r="F39" s="17">
        <v>103140</v>
      </c>
      <c r="H39" s="1"/>
      <c r="I39" s="1"/>
    </row>
    <row r="40" spans="2:9" ht="15.75">
      <c r="B40" s="14">
        <v>43508</v>
      </c>
      <c r="C40" s="11">
        <v>1902037</v>
      </c>
      <c r="D40" s="39" t="s">
        <v>392</v>
      </c>
      <c r="E40" s="17">
        <f>204026+7817+20060+3894</f>
        <v>235797</v>
      </c>
      <c r="F40" s="17"/>
      <c r="H40" s="1"/>
      <c r="I40" s="1"/>
    </row>
    <row r="41" spans="2:9" ht="15.75">
      <c r="B41" s="14">
        <v>43508</v>
      </c>
      <c r="C41" s="11">
        <v>1902038</v>
      </c>
      <c r="D41" s="39" t="s">
        <v>393</v>
      </c>
      <c r="E41" s="17"/>
      <c r="F41" s="17">
        <v>95000</v>
      </c>
      <c r="H41" s="1"/>
      <c r="I41" s="1"/>
    </row>
    <row r="42" spans="2:9" ht="15.75">
      <c r="B42" s="14">
        <v>43509</v>
      </c>
      <c r="C42" s="11">
        <v>1902039</v>
      </c>
      <c r="D42" s="39" t="s">
        <v>394</v>
      </c>
      <c r="E42" s="17">
        <f>21812+24540+24847+6295</f>
        <v>77494</v>
      </c>
      <c r="F42" s="17"/>
      <c r="I42" s="1"/>
    </row>
    <row r="43" spans="2:9" ht="15.75">
      <c r="B43" s="14">
        <v>43510</v>
      </c>
      <c r="C43" s="11">
        <v>1902040</v>
      </c>
      <c r="D43" s="16" t="s">
        <v>134</v>
      </c>
      <c r="E43" s="17"/>
      <c r="F43" s="17">
        <v>10000</v>
      </c>
      <c r="I43" s="1"/>
    </row>
    <row r="44" spans="2:9" ht="15.75">
      <c r="B44" s="14">
        <v>43510</v>
      </c>
      <c r="C44" s="11">
        <v>1902041</v>
      </c>
      <c r="D44" s="16" t="s">
        <v>390</v>
      </c>
      <c r="E44" s="17"/>
      <c r="F44" s="17">
        <v>3000</v>
      </c>
      <c r="I44" s="1"/>
    </row>
    <row r="45" spans="2:9" ht="15.75">
      <c r="B45" s="14">
        <v>43510</v>
      </c>
      <c r="C45" s="11">
        <v>1902042</v>
      </c>
      <c r="D45" s="16" t="s">
        <v>395</v>
      </c>
      <c r="E45" s="17"/>
      <c r="F45" s="17">
        <v>60000</v>
      </c>
      <c r="I45" s="1"/>
    </row>
    <row r="46" spans="2:9" ht="15.75">
      <c r="B46" s="14">
        <v>43510</v>
      </c>
      <c r="C46" s="11">
        <v>1902043</v>
      </c>
      <c r="D46" s="39" t="s">
        <v>396</v>
      </c>
      <c r="E46" s="17"/>
      <c r="F46" s="17">
        <v>40000</v>
      </c>
      <c r="I46" s="1"/>
    </row>
    <row r="47" spans="2:9" ht="15.75">
      <c r="B47" s="14">
        <v>43510</v>
      </c>
      <c r="C47" s="11">
        <v>1902044</v>
      </c>
      <c r="D47" s="16" t="s">
        <v>397</v>
      </c>
      <c r="E47" s="17">
        <f>5900+52315+8440+4419+15200+17753+1687+6645+28420+29891+24644+57070</f>
        <v>252384</v>
      </c>
      <c r="F47" s="17"/>
      <c r="I47" s="1"/>
    </row>
    <row r="48" spans="2:9" ht="15.75">
      <c r="B48" s="14">
        <v>43511</v>
      </c>
      <c r="C48" s="11">
        <v>1902045</v>
      </c>
      <c r="D48" s="39" t="s">
        <v>398</v>
      </c>
      <c r="E48" s="17"/>
      <c r="F48" s="17">
        <v>100000</v>
      </c>
      <c r="I48" s="1"/>
    </row>
    <row r="49" spans="2:9" ht="15.75">
      <c r="B49" s="14">
        <v>43511</v>
      </c>
      <c r="C49" s="11">
        <v>1902046</v>
      </c>
      <c r="D49" s="16" t="s">
        <v>399</v>
      </c>
      <c r="E49" s="17"/>
      <c r="F49" s="17">
        <v>40500</v>
      </c>
      <c r="I49" s="1"/>
    </row>
    <row r="50" spans="2:9" ht="15.75">
      <c r="B50" s="14">
        <v>43511</v>
      </c>
      <c r="C50" s="11">
        <v>1902047</v>
      </c>
      <c r="D50" s="16" t="s">
        <v>196</v>
      </c>
      <c r="E50" s="17"/>
      <c r="F50" s="17">
        <v>14000</v>
      </c>
      <c r="I50" s="1"/>
    </row>
    <row r="51" spans="2:9" ht="15.75">
      <c r="B51" s="14">
        <v>43511</v>
      </c>
      <c r="C51" s="11">
        <v>1902048</v>
      </c>
      <c r="D51" s="16" t="s">
        <v>400</v>
      </c>
      <c r="E51" s="17"/>
      <c r="F51" s="17">
        <v>5500</v>
      </c>
      <c r="I51" s="1"/>
    </row>
    <row r="52" spans="2:9" ht="15.75">
      <c r="B52" s="14">
        <v>43514</v>
      </c>
      <c r="C52" s="11">
        <v>1902049</v>
      </c>
      <c r="D52" s="16" t="s">
        <v>134</v>
      </c>
      <c r="E52" s="17"/>
      <c r="F52" s="17">
        <v>20000</v>
      </c>
      <c r="I52" s="1"/>
    </row>
    <row r="53" spans="2:9" ht="15.75">
      <c r="B53" s="14">
        <v>43514</v>
      </c>
      <c r="C53" s="11">
        <v>1902050</v>
      </c>
      <c r="D53" s="16" t="s">
        <v>401</v>
      </c>
      <c r="E53" s="17"/>
      <c r="F53" s="17">
        <v>5000</v>
      </c>
      <c r="H53" s="1"/>
      <c r="I53" s="1"/>
    </row>
    <row r="54" spans="2:9" ht="15.75">
      <c r="B54" s="14">
        <v>43514</v>
      </c>
      <c r="C54" s="11">
        <v>1902051</v>
      </c>
      <c r="D54" s="16" t="s">
        <v>402</v>
      </c>
      <c r="E54" s="17"/>
      <c r="F54" s="17">
        <v>105000</v>
      </c>
      <c r="H54" s="1"/>
      <c r="I54" s="1"/>
    </row>
    <row r="55" spans="2:9" ht="15.75">
      <c r="B55" s="14">
        <v>43514</v>
      </c>
      <c r="C55" s="11">
        <v>1902052</v>
      </c>
      <c r="D55" s="16" t="s">
        <v>403</v>
      </c>
      <c r="E55" s="17"/>
      <c r="F55" s="17">
        <v>15000</v>
      </c>
      <c r="H55" s="1"/>
      <c r="I55" s="1"/>
    </row>
    <row r="56" spans="2:9" ht="15.75">
      <c r="B56" s="14">
        <v>43514</v>
      </c>
      <c r="C56" s="11">
        <v>1902053</v>
      </c>
      <c r="D56" s="16" t="s">
        <v>404</v>
      </c>
      <c r="E56" s="17"/>
      <c r="F56" s="17">
        <v>250000</v>
      </c>
      <c r="H56" s="1"/>
      <c r="I56" s="1"/>
    </row>
    <row r="57" spans="2:9" ht="15.75">
      <c r="B57" s="14">
        <v>43514</v>
      </c>
      <c r="C57" s="11">
        <v>1902054</v>
      </c>
      <c r="D57" s="16" t="s">
        <v>398</v>
      </c>
      <c r="E57" s="17"/>
      <c r="F57" s="17">
        <v>70000</v>
      </c>
      <c r="H57" s="1"/>
      <c r="I57" s="1"/>
    </row>
    <row r="58" spans="2:9" ht="15.75">
      <c r="B58" s="14">
        <v>43514</v>
      </c>
      <c r="C58" s="11">
        <v>1902055</v>
      </c>
      <c r="D58" s="16" t="s">
        <v>405</v>
      </c>
      <c r="E58" s="17">
        <f>8502+5876+8124+7874+20868</f>
        <v>51244</v>
      </c>
      <c r="F58" s="17"/>
      <c r="H58" s="1"/>
      <c r="I58" s="1"/>
    </row>
    <row r="59" spans="2:9" ht="15.75">
      <c r="B59" s="14">
        <v>43514</v>
      </c>
      <c r="C59" s="11">
        <v>1902056</v>
      </c>
      <c r="D59" s="16" t="s">
        <v>406</v>
      </c>
      <c r="E59" s="17">
        <f>29488+8950+10484+17321+237727+10937</f>
        <v>314907</v>
      </c>
      <c r="F59" s="17"/>
      <c r="I59" s="1"/>
    </row>
    <row r="60" spans="2:9" ht="15.75">
      <c r="B60" s="14">
        <v>43515</v>
      </c>
      <c r="C60" s="11">
        <v>1902057</v>
      </c>
      <c r="D60" s="16" t="s">
        <v>407</v>
      </c>
      <c r="E60" s="17"/>
      <c r="F60" s="17">
        <v>30000</v>
      </c>
      <c r="I60" s="1"/>
    </row>
    <row r="61" spans="2:9" ht="15.75">
      <c r="B61" s="14">
        <v>43515</v>
      </c>
      <c r="C61" s="11">
        <v>1902058</v>
      </c>
      <c r="D61" s="16" t="s">
        <v>408</v>
      </c>
      <c r="E61" s="17">
        <f>7279+6414+8983+40598+22402+68162+37695</f>
        <v>191533</v>
      </c>
      <c r="F61" s="17"/>
      <c r="I61" s="1"/>
    </row>
    <row r="62" spans="2:9" ht="15" customHeight="1">
      <c r="B62" s="14">
        <v>43516</v>
      </c>
      <c r="C62" s="11">
        <v>1902059</v>
      </c>
      <c r="D62" s="16" t="s">
        <v>14</v>
      </c>
      <c r="E62" s="17"/>
      <c r="F62" s="17">
        <v>20000</v>
      </c>
      <c r="I62" s="1"/>
    </row>
    <row r="63" spans="2:9" ht="15.75">
      <c r="B63" s="14">
        <v>43516</v>
      </c>
      <c r="C63" s="11">
        <v>1902060</v>
      </c>
      <c r="D63" s="16" t="s">
        <v>409</v>
      </c>
      <c r="E63" s="17"/>
      <c r="F63" s="17">
        <v>5000</v>
      </c>
      <c r="H63" s="1"/>
      <c r="I63" s="1"/>
    </row>
    <row r="64" spans="2:9" ht="15.75">
      <c r="B64" s="14">
        <v>43516</v>
      </c>
      <c r="C64" s="11">
        <v>1902061</v>
      </c>
      <c r="D64" s="16" t="s">
        <v>410</v>
      </c>
      <c r="E64" s="17"/>
      <c r="F64" s="17">
        <v>9000</v>
      </c>
      <c r="H64" s="1"/>
      <c r="I64" s="1"/>
    </row>
    <row r="65" spans="2:9" ht="15.75">
      <c r="B65" s="14">
        <v>43516</v>
      </c>
      <c r="C65" s="11">
        <v>1902062</v>
      </c>
      <c r="D65" s="16" t="s">
        <v>411</v>
      </c>
      <c r="E65" s="17"/>
      <c r="F65" s="17">
        <v>30100</v>
      </c>
      <c r="H65" s="1"/>
      <c r="I65" s="1"/>
    </row>
    <row r="66" spans="2:9" ht="15.75">
      <c r="B66" s="14">
        <v>43516</v>
      </c>
      <c r="C66" s="11">
        <v>1902063</v>
      </c>
      <c r="D66" s="16" t="s">
        <v>412</v>
      </c>
      <c r="E66" s="17"/>
      <c r="F66" s="17">
        <v>2500</v>
      </c>
      <c r="H66" s="1"/>
      <c r="I66" s="1"/>
    </row>
    <row r="67" spans="2:9" ht="15.75">
      <c r="B67" s="14">
        <v>43516</v>
      </c>
      <c r="C67" s="11">
        <v>1902064</v>
      </c>
      <c r="D67" s="16" t="s">
        <v>413</v>
      </c>
      <c r="E67" s="17">
        <f>4897+56038</f>
        <v>60935</v>
      </c>
      <c r="F67" s="17"/>
      <c r="H67" s="1"/>
      <c r="I67" s="1"/>
    </row>
    <row r="68" spans="2:9" ht="15.75">
      <c r="B68" s="14">
        <v>43517</v>
      </c>
      <c r="C68" s="11">
        <v>1902065</v>
      </c>
      <c r="D68" s="16" t="s">
        <v>414</v>
      </c>
      <c r="E68" s="17"/>
      <c r="F68" s="17">
        <v>30000</v>
      </c>
      <c r="H68" s="1"/>
      <c r="I68" s="1"/>
    </row>
    <row r="69" spans="2:9" ht="15.75">
      <c r="B69" s="14">
        <v>43517</v>
      </c>
      <c r="C69" s="11">
        <v>1902066</v>
      </c>
      <c r="D69" s="16" t="s">
        <v>415</v>
      </c>
      <c r="E69" s="17">
        <f>21340+14703+5518+25352+16500</f>
        <v>83413</v>
      </c>
      <c r="F69" s="17"/>
      <c r="H69" s="1"/>
      <c r="I69" s="1"/>
    </row>
    <row r="70" spans="2:9" ht="15.75">
      <c r="B70" s="14">
        <v>43518</v>
      </c>
      <c r="C70" s="11">
        <v>1902067</v>
      </c>
      <c r="D70" s="16" t="s">
        <v>389</v>
      </c>
      <c r="E70" s="17"/>
      <c r="F70" s="17">
        <v>10000</v>
      </c>
      <c r="H70" s="1"/>
      <c r="I70" s="1"/>
    </row>
    <row r="71" spans="2:9" ht="15.75">
      <c r="B71" s="14">
        <v>43518</v>
      </c>
      <c r="C71" s="11">
        <v>1902068</v>
      </c>
      <c r="D71" s="16" t="s">
        <v>398</v>
      </c>
      <c r="E71" s="17"/>
      <c r="F71" s="17">
        <v>55000</v>
      </c>
      <c r="H71" s="1"/>
      <c r="I71" s="1"/>
    </row>
    <row r="72" spans="2:9" ht="15.75">
      <c r="B72" s="14">
        <v>43518</v>
      </c>
      <c r="C72" s="11">
        <v>1902069</v>
      </c>
      <c r="D72" s="16" t="s">
        <v>14</v>
      </c>
      <c r="E72" s="17"/>
      <c r="F72" s="17">
        <v>30000</v>
      </c>
      <c r="H72" s="1"/>
      <c r="I72" s="1"/>
    </row>
    <row r="73" spans="2:9" ht="15.75">
      <c r="B73" s="14">
        <v>43518</v>
      </c>
      <c r="C73" s="11">
        <v>1902070</v>
      </c>
      <c r="D73" s="16" t="s">
        <v>416</v>
      </c>
      <c r="E73" s="17">
        <v>79680</v>
      </c>
      <c r="F73" s="17"/>
      <c r="H73" s="1"/>
      <c r="I73" s="1"/>
    </row>
    <row r="74" spans="2:9" ht="15.75">
      <c r="B74" s="14">
        <v>43518</v>
      </c>
      <c r="C74" s="11">
        <v>1902071</v>
      </c>
      <c r="D74" s="16" t="s">
        <v>417</v>
      </c>
      <c r="E74" s="17">
        <f>9582+9608+8878+12667+15146+11050+22520+43389+4956+20774+974+4130</f>
        <v>163674</v>
      </c>
      <c r="F74" s="17"/>
      <c r="H74" s="1"/>
      <c r="I74" s="1"/>
    </row>
    <row r="75" spans="2:9" ht="15.75">
      <c r="B75" s="14">
        <v>43521</v>
      </c>
      <c r="C75" s="11">
        <v>1902072</v>
      </c>
      <c r="D75" s="16" t="s">
        <v>418</v>
      </c>
      <c r="E75" s="17"/>
      <c r="F75" s="17">
        <v>27000</v>
      </c>
      <c r="H75" s="1"/>
      <c r="I75" s="1"/>
    </row>
    <row r="76" spans="2:9" ht="15.75">
      <c r="B76" s="14">
        <v>43521</v>
      </c>
      <c r="C76" s="11">
        <v>1902073</v>
      </c>
      <c r="D76" s="16" t="s">
        <v>419</v>
      </c>
      <c r="E76" s="17"/>
      <c r="F76" s="17">
        <v>3081</v>
      </c>
      <c r="H76" s="1"/>
      <c r="I76" s="1"/>
    </row>
    <row r="77" spans="2:9" ht="15.75">
      <c r="B77" s="14">
        <v>43521</v>
      </c>
      <c r="C77" s="11">
        <v>1902074</v>
      </c>
      <c r="D77" s="16" t="s">
        <v>420</v>
      </c>
      <c r="E77" s="17">
        <f>11598+44704</f>
        <v>56302</v>
      </c>
      <c r="F77" s="17"/>
      <c r="H77" s="1"/>
      <c r="I77" s="1"/>
    </row>
    <row r="78" spans="2:9" ht="15.75">
      <c r="B78" s="14">
        <v>43522</v>
      </c>
      <c r="C78" s="11">
        <v>1902075</v>
      </c>
      <c r="D78" s="16" t="s">
        <v>421</v>
      </c>
      <c r="E78" s="17"/>
      <c r="F78" s="17">
        <v>3500</v>
      </c>
      <c r="H78" s="1"/>
      <c r="I78" s="1"/>
    </row>
    <row r="79" spans="2:9" ht="15.75">
      <c r="B79" s="14">
        <v>43522</v>
      </c>
      <c r="C79" s="11">
        <v>1902076</v>
      </c>
      <c r="D79" s="16" t="s">
        <v>422</v>
      </c>
      <c r="E79" s="17">
        <f>25588+19362+76564+21340+7463</f>
        <v>150317</v>
      </c>
      <c r="F79" s="17"/>
      <c r="H79" s="1"/>
      <c r="I79" s="1"/>
    </row>
    <row r="80" spans="2:9" ht="15.75">
      <c r="B80" s="14">
        <v>43523</v>
      </c>
      <c r="C80" s="11">
        <v>1902077</v>
      </c>
      <c r="D80" s="16" t="s">
        <v>423</v>
      </c>
      <c r="E80" s="17"/>
      <c r="F80" s="17">
        <v>30100</v>
      </c>
      <c r="H80" s="1"/>
      <c r="I80" s="1"/>
    </row>
    <row r="81" spans="2:9" ht="15.75">
      <c r="B81" s="14">
        <v>43523</v>
      </c>
      <c r="C81" s="11">
        <v>1902078</v>
      </c>
      <c r="D81" s="16" t="s">
        <v>424</v>
      </c>
      <c r="E81" s="17">
        <f>6708+3044+3776+23700+8077</f>
        <v>45305</v>
      </c>
      <c r="F81" s="17"/>
      <c r="H81" s="1"/>
      <c r="I81" s="1"/>
    </row>
    <row r="82" spans="2:9" ht="15.75">
      <c r="B82" s="14">
        <v>43524</v>
      </c>
      <c r="C82" s="11">
        <v>1902079</v>
      </c>
      <c r="D82" s="16" t="s">
        <v>134</v>
      </c>
      <c r="E82" s="17"/>
      <c r="F82" s="17">
        <v>100100</v>
      </c>
      <c r="H82" s="1"/>
      <c r="I82" s="1"/>
    </row>
    <row r="83" spans="2:9" ht="15.75">
      <c r="B83" s="14">
        <v>43524</v>
      </c>
      <c r="C83" s="11">
        <v>1902080</v>
      </c>
      <c r="D83" s="16" t="s">
        <v>130</v>
      </c>
      <c r="E83" s="17"/>
      <c r="F83" s="17">
        <v>200000</v>
      </c>
      <c r="I83" s="1"/>
    </row>
    <row r="84" spans="2:9" ht="15.75">
      <c r="B84" s="14">
        <v>43524</v>
      </c>
      <c r="C84" s="11">
        <v>1902081</v>
      </c>
      <c r="D84" s="16" t="s">
        <v>425</v>
      </c>
      <c r="E84" s="17">
        <f>18390+149202+49926+8124+286613+24833+257740</f>
        <v>794828</v>
      </c>
      <c r="F84" s="17"/>
      <c r="I84" s="1"/>
    </row>
    <row r="85" spans="2:9" ht="15.75">
      <c r="B85" s="14">
        <v>43524</v>
      </c>
      <c r="C85" s="11">
        <v>1902082</v>
      </c>
      <c r="D85" s="16" t="s">
        <v>196</v>
      </c>
      <c r="E85" s="17"/>
      <c r="F85" s="17">
        <v>14000</v>
      </c>
      <c r="I85" s="1"/>
    </row>
    <row r="86" spans="2:9" ht="15.75">
      <c r="B86" s="14">
        <v>43524</v>
      </c>
      <c r="C86" s="11">
        <v>1902083</v>
      </c>
      <c r="D86" s="16" t="s">
        <v>426</v>
      </c>
      <c r="E86" s="17"/>
      <c r="F86" s="17">
        <v>2000</v>
      </c>
      <c r="I86" s="1"/>
    </row>
    <row r="87" spans="2:9" ht="15.75">
      <c r="B87" s="14">
        <v>43524</v>
      </c>
      <c r="C87" s="11">
        <v>1902084</v>
      </c>
      <c r="D87" s="16" t="s">
        <v>427</v>
      </c>
      <c r="E87" s="17"/>
      <c r="F87" s="17">
        <v>38000</v>
      </c>
      <c r="I87" s="1"/>
    </row>
    <row r="88" spans="2:9" ht="15.75">
      <c r="B88" s="18"/>
      <c r="C88" s="19"/>
      <c r="D88" s="20"/>
      <c r="E88" s="17">
        <f>SUM(E3:E87)</f>
        <v>4889070</v>
      </c>
      <c r="F88" s="25">
        <f>SUM(F3:F87)</f>
        <v>2328551</v>
      </c>
    </row>
    <row r="90" spans="2:9">
      <c r="E90" s="21" t="s">
        <v>6</v>
      </c>
      <c r="F90" s="17">
        <f>E88-F88</f>
        <v>2560519</v>
      </c>
    </row>
  </sheetData>
  <printOptions horizontalCentered="1"/>
  <pageMargins left="0" right="0" top="0" bottom="0" header="0" footer="0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I80"/>
  <sheetViews>
    <sheetView topLeftCell="A70" workbookViewId="0">
      <selection activeCell="F80" sqref="F80"/>
    </sheetView>
  </sheetViews>
  <sheetFormatPr baseColWidth="10" defaultRowHeight="15"/>
  <cols>
    <col min="2" max="2" width="8.7109375" customWidth="1"/>
    <col min="3" max="3" width="9.7109375" customWidth="1"/>
    <col min="4" max="4" width="47.85546875" bestFit="1" customWidth="1"/>
    <col min="5" max="5" width="15.140625" bestFit="1" customWidth="1"/>
    <col min="6" max="6" width="14.140625" style="5" bestFit="1" customWidth="1"/>
    <col min="8" max="8" width="12" customWidth="1"/>
    <col min="9" max="9" width="21.7109375" bestFit="1" customWidth="1"/>
    <col min="10" max="10" width="23.5703125" bestFit="1" customWidth="1"/>
    <col min="11" max="11" width="12.7109375" bestFit="1" customWidth="1"/>
  </cols>
  <sheetData>
    <row r="2" spans="2:8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8">
      <c r="B3" s="6">
        <v>43525</v>
      </c>
      <c r="C3" s="22"/>
      <c r="D3" s="8" t="s">
        <v>340</v>
      </c>
      <c r="E3" s="17">
        <f>'FEVRIER 2019'!F90</f>
        <v>2560519</v>
      </c>
      <c r="F3" s="17"/>
    </row>
    <row r="4" spans="2:8" ht="15.75">
      <c r="B4" s="14">
        <v>43525</v>
      </c>
      <c r="C4" s="33">
        <v>1903001</v>
      </c>
      <c r="D4" s="16" t="s">
        <v>429</v>
      </c>
      <c r="E4" s="17">
        <f>31280+96639+191502+61785+5116+45790</f>
        <v>432112</v>
      </c>
      <c r="F4" s="17"/>
      <c r="H4" s="1"/>
    </row>
    <row r="5" spans="2:8" ht="15.75">
      <c r="B5" s="14">
        <v>43525</v>
      </c>
      <c r="C5" s="33">
        <v>1903002</v>
      </c>
      <c r="D5" s="16" t="s">
        <v>430</v>
      </c>
      <c r="E5" s="17"/>
      <c r="F5" s="17">
        <v>105006</v>
      </c>
      <c r="H5" s="41"/>
    </row>
    <row r="6" spans="2:8" ht="15.75">
      <c r="B6" s="14">
        <v>43525</v>
      </c>
      <c r="C6" s="33">
        <v>1903003</v>
      </c>
      <c r="D6" s="16" t="s">
        <v>431</v>
      </c>
      <c r="E6" s="17"/>
      <c r="F6" s="17">
        <v>115000</v>
      </c>
      <c r="H6" s="41"/>
    </row>
    <row r="7" spans="2:8" s="30" customFormat="1" ht="15.75">
      <c r="B7" s="14">
        <v>43525</v>
      </c>
      <c r="C7" s="33">
        <v>1903004</v>
      </c>
      <c r="D7" s="16" t="s">
        <v>368</v>
      </c>
      <c r="E7" s="17"/>
      <c r="F7" s="17">
        <v>30000</v>
      </c>
    </row>
    <row r="8" spans="2:8" ht="15.75">
      <c r="B8" s="14">
        <v>43525</v>
      </c>
      <c r="C8" s="33">
        <v>1903005</v>
      </c>
      <c r="D8" s="16" t="s">
        <v>432</v>
      </c>
      <c r="E8" s="17"/>
      <c r="F8" s="17">
        <v>10000</v>
      </c>
    </row>
    <row r="9" spans="2:8" ht="15.75">
      <c r="B9" s="14">
        <v>43528</v>
      </c>
      <c r="C9" s="33">
        <v>1903006</v>
      </c>
      <c r="D9" s="16" t="s">
        <v>433</v>
      </c>
      <c r="E9" s="17"/>
      <c r="F9" s="17">
        <v>31000</v>
      </c>
    </row>
    <row r="10" spans="2:8" ht="15.75">
      <c r="B10" s="14">
        <v>43528</v>
      </c>
      <c r="C10" s="33">
        <v>1903007</v>
      </c>
      <c r="D10" s="16" t="s">
        <v>434</v>
      </c>
      <c r="E10" s="17"/>
      <c r="F10" s="17">
        <v>100000</v>
      </c>
    </row>
    <row r="11" spans="2:8" ht="15.75">
      <c r="B11" s="14">
        <v>43528</v>
      </c>
      <c r="C11" s="33">
        <v>1903008</v>
      </c>
      <c r="D11" s="16" t="s">
        <v>46</v>
      </c>
      <c r="E11" s="17"/>
      <c r="F11" s="17">
        <v>2000</v>
      </c>
    </row>
    <row r="12" spans="2:8" ht="15.75">
      <c r="B12" s="14">
        <v>43528</v>
      </c>
      <c r="C12" s="33">
        <v>1903009</v>
      </c>
      <c r="D12" s="16" t="s">
        <v>435</v>
      </c>
      <c r="E12" s="17">
        <f>13882+13410+58628+17447+3540</f>
        <v>106907</v>
      </c>
      <c r="F12" s="17"/>
    </row>
    <row r="13" spans="2:8" ht="15.75">
      <c r="B13" s="14">
        <v>43528</v>
      </c>
      <c r="C13" s="33">
        <v>1903010</v>
      </c>
      <c r="D13" s="16" t="s">
        <v>436</v>
      </c>
      <c r="E13" s="17"/>
      <c r="F13" s="17">
        <v>20000</v>
      </c>
    </row>
    <row r="14" spans="2:8" ht="15.75">
      <c r="B14" s="14">
        <v>43528</v>
      </c>
      <c r="C14" s="33">
        <v>1903011</v>
      </c>
      <c r="D14" s="16" t="s">
        <v>437</v>
      </c>
      <c r="E14" s="17"/>
      <c r="F14" s="17">
        <v>20000</v>
      </c>
    </row>
    <row r="15" spans="2:8" ht="15.75">
      <c r="B15" s="14">
        <v>43529</v>
      </c>
      <c r="C15" s="33">
        <v>1903012</v>
      </c>
      <c r="D15" s="16" t="s">
        <v>7</v>
      </c>
      <c r="E15" s="17"/>
      <c r="F15" s="17">
        <v>155000</v>
      </c>
    </row>
    <row r="16" spans="2:8" ht="15.75">
      <c r="B16" s="14">
        <v>43529</v>
      </c>
      <c r="C16" s="33">
        <v>1903013</v>
      </c>
      <c r="D16" s="16" t="s">
        <v>438</v>
      </c>
      <c r="E16" s="17"/>
      <c r="F16" s="17">
        <v>190000</v>
      </c>
    </row>
    <row r="17" spans="2:9" ht="15.75">
      <c r="B17" s="14">
        <v>43529</v>
      </c>
      <c r="C17" s="33">
        <v>1903014</v>
      </c>
      <c r="D17" s="16" t="s">
        <v>439</v>
      </c>
      <c r="E17" s="17">
        <f>5808+13906+65425+27665+23229+7888</f>
        <v>143921</v>
      </c>
      <c r="F17" s="17"/>
    </row>
    <row r="18" spans="2:9" ht="15.75">
      <c r="B18" s="14">
        <v>43529</v>
      </c>
      <c r="C18" s="33">
        <v>1903015</v>
      </c>
      <c r="D18" s="16" t="s">
        <v>440</v>
      </c>
      <c r="E18" s="17"/>
      <c r="F18" s="17">
        <v>110000</v>
      </c>
    </row>
    <row r="19" spans="2:9" ht="15.75">
      <c r="B19" s="14">
        <v>43530</v>
      </c>
      <c r="C19" s="33">
        <v>1903016</v>
      </c>
      <c r="D19" s="16" t="s">
        <v>441</v>
      </c>
      <c r="E19" s="17">
        <v>66180</v>
      </c>
      <c r="F19" s="17"/>
    </row>
    <row r="20" spans="2:9" ht="15.75">
      <c r="B20" s="14">
        <v>43530</v>
      </c>
      <c r="C20" s="33">
        <v>1903017</v>
      </c>
      <c r="D20" s="16" t="s">
        <v>442</v>
      </c>
      <c r="E20" s="17">
        <v>20000</v>
      </c>
      <c r="F20" s="17"/>
    </row>
    <row r="21" spans="2:9" ht="15.75">
      <c r="B21" s="14">
        <v>43530</v>
      </c>
      <c r="C21" s="33">
        <v>1903018</v>
      </c>
      <c r="D21" s="16" t="s">
        <v>443</v>
      </c>
      <c r="E21" s="17">
        <f>10484+21340+4313</f>
        <v>36137</v>
      </c>
      <c r="F21" s="17"/>
    </row>
    <row r="22" spans="2:9" ht="15.75">
      <c r="B22" s="14">
        <v>43531</v>
      </c>
      <c r="C22" s="33">
        <v>1903019</v>
      </c>
      <c r="D22" s="16" t="s">
        <v>444</v>
      </c>
      <c r="E22" s="17">
        <f>43146+12372+14260+53436+64245+12381</f>
        <v>199840</v>
      </c>
      <c r="F22" s="17"/>
    </row>
    <row r="23" spans="2:9" ht="15.75">
      <c r="B23" s="14">
        <v>43532</v>
      </c>
      <c r="C23" s="33">
        <v>1903020</v>
      </c>
      <c r="D23" s="16" t="s">
        <v>294</v>
      </c>
      <c r="E23" s="17"/>
      <c r="F23" s="17">
        <v>500</v>
      </c>
    </row>
    <row r="24" spans="2:9" ht="15.75">
      <c r="B24" s="14">
        <v>43532</v>
      </c>
      <c r="C24" s="33">
        <v>1903021</v>
      </c>
      <c r="D24" s="16" t="s">
        <v>445</v>
      </c>
      <c r="E24" s="17"/>
      <c r="F24" s="17">
        <v>45000</v>
      </c>
    </row>
    <row r="25" spans="2:9" ht="15.75">
      <c r="B25" s="14">
        <v>43535</v>
      </c>
      <c r="C25" s="33">
        <v>1903022</v>
      </c>
      <c r="D25" s="16" t="s">
        <v>436</v>
      </c>
      <c r="E25" s="17"/>
      <c r="F25" s="17">
        <v>40000</v>
      </c>
    </row>
    <row r="26" spans="2:9" ht="15.75">
      <c r="B26" s="6">
        <v>43535</v>
      </c>
      <c r="C26" s="33">
        <v>1903023</v>
      </c>
      <c r="D26" s="36" t="s">
        <v>455</v>
      </c>
      <c r="E26" s="9"/>
      <c r="F26" s="9">
        <v>5000</v>
      </c>
    </row>
    <row r="27" spans="2:9" ht="15.75">
      <c r="B27" s="14">
        <v>43535</v>
      </c>
      <c r="C27" s="33">
        <v>1903024</v>
      </c>
      <c r="D27" s="16" t="s">
        <v>446</v>
      </c>
      <c r="E27" s="17">
        <f>51076+36810+68304+63289+8785+9540+92083+89845+9711</f>
        <v>429443</v>
      </c>
      <c r="F27" s="17"/>
    </row>
    <row r="28" spans="2:9" ht="15.75">
      <c r="B28" s="14">
        <v>43535</v>
      </c>
      <c r="C28" s="33">
        <v>1903025</v>
      </c>
      <c r="D28" s="16" t="s">
        <v>447</v>
      </c>
      <c r="E28" s="17">
        <f>9127+2719+8893+20986+1870+3568+5868+32319</f>
        <v>85350</v>
      </c>
      <c r="F28" s="17"/>
    </row>
    <row r="29" spans="2:9" ht="15.75">
      <c r="B29" s="14">
        <v>43536</v>
      </c>
      <c r="C29" s="33">
        <v>1903026</v>
      </c>
      <c r="D29" s="16" t="s">
        <v>448</v>
      </c>
      <c r="E29" s="17">
        <v>8375</v>
      </c>
      <c r="F29" s="17"/>
      <c r="I29" s="40"/>
    </row>
    <row r="30" spans="2:9" ht="15.75">
      <c r="B30" s="14">
        <v>43536</v>
      </c>
      <c r="C30" s="33">
        <v>1903027</v>
      </c>
      <c r="D30" s="16" t="s">
        <v>449</v>
      </c>
      <c r="E30" s="17">
        <f>20160+5452+16083+222954</f>
        <v>264649</v>
      </c>
      <c r="F30" s="17"/>
      <c r="I30" s="40"/>
    </row>
    <row r="31" spans="2:9" ht="15.75">
      <c r="B31" s="14">
        <v>43537</v>
      </c>
      <c r="C31" s="33">
        <v>1903028</v>
      </c>
      <c r="D31" s="16" t="s">
        <v>450</v>
      </c>
      <c r="E31" s="17"/>
      <c r="F31" s="17">
        <v>500</v>
      </c>
    </row>
    <row r="32" spans="2:9" ht="15.75">
      <c r="B32" s="14">
        <v>43537</v>
      </c>
      <c r="C32" s="33">
        <v>1903029</v>
      </c>
      <c r="D32" s="16" t="s">
        <v>451</v>
      </c>
      <c r="E32" s="17"/>
      <c r="F32" s="17">
        <v>30100</v>
      </c>
    </row>
    <row r="33" spans="2:6" ht="15.75">
      <c r="B33" s="14">
        <v>43537</v>
      </c>
      <c r="C33" s="33">
        <v>1903030</v>
      </c>
      <c r="D33" s="16" t="s">
        <v>452</v>
      </c>
      <c r="E33" s="17"/>
      <c r="F33" s="17">
        <v>30000</v>
      </c>
    </row>
    <row r="34" spans="2:6" ht="15.75">
      <c r="B34" s="14">
        <v>43537</v>
      </c>
      <c r="C34" s="33">
        <v>1903031</v>
      </c>
      <c r="D34" s="16" t="s">
        <v>453</v>
      </c>
      <c r="E34" s="17">
        <f>3959+10130+19924+5906+30214+9304+14042+33553+46616+9540+26626+15647</f>
        <v>225461</v>
      </c>
      <c r="F34" s="17"/>
    </row>
    <row r="35" spans="2:6" ht="15.75">
      <c r="B35" s="14">
        <v>43538</v>
      </c>
      <c r="C35" s="33">
        <v>1903032</v>
      </c>
      <c r="D35" s="16" t="s">
        <v>454</v>
      </c>
      <c r="E35" s="17"/>
      <c r="F35" s="17">
        <v>2000000</v>
      </c>
    </row>
    <row r="36" spans="2:6" ht="15.75">
      <c r="B36" s="14">
        <v>43538</v>
      </c>
      <c r="C36" s="33">
        <v>1903033</v>
      </c>
      <c r="D36" s="39" t="s">
        <v>437</v>
      </c>
      <c r="E36" s="17"/>
      <c r="F36" s="17">
        <v>20000</v>
      </c>
    </row>
    <row r="37" spans="2:6" ht="15.75">
      <c r="B37" s="14">
        <v>43538</v>
      </c>
      <c r="C37" s="33">
        <v>1903034</v>
      </c>
      <c r="D37" s="39" t="s">
        <v>196</v>
      </c>
      <c r="E37" s="17"/>
      <c r="F37" s="17">
        <v>18000</v>
      </c>
    </row>
    <row r="38" spans="2:6" ht="15.75">
      <c r="B38" s="14">
        <v>43538</v>
      </c>
      <c r="C38" s="33">
        <v>1903035</v>
      </c>
      <c r="D38" s="81" t="s">
        <v>486</v>
      </c>
      <c r="E38" s="17">
        <f>47168+155965+12638+9375</f>
        <v>225146</v>
      </c>
      <c r="F38" s="17"/>
    </row>
    <row r="39" spans="2:6" ht="15.75">
      <c r="B39" s="14">
        <v>43539</v>
      </c>
      <c r="C39" s="33">
        <v>1903036</v>
      </c>
      <c r="D39" s="78" t="s">
        <v>485</v>
      </c>
      <c r="E39" s="17"/>
      <c r="F39" s="17">
        <v>5000</v>
      </c>
    </row>
    <row r="40" spans="2:6" ht="15.75">
      <c r="B40" s="14">
        <v>43539</v>
      </c>
      <c r="C40" s="33">
        <v>1903037</v>
      </c>
      <c r="D40" s="39" t="s">
        <v>484</v>
      </c>
      <c r="E40" s="17">
        <f>15204+47527+26505+19057</f>
        <v>108293</v>
      </c>
      <c r="F40" s="17"/>
    </row>
    <row r="41" spans="2:6" ht="15.75">
      <c r="B41" s="14">
        <v>43539</v>
      </c>
      <c r="C41" s="33">
        <v>1903038</v>
      </c>
      <c r="D41" s="39" t="s">
        <v>483</v>
      </c>
      <c r="E41" s="17"/>
      <c r="F41" s="17">
        <v>59000</v>
      </c>
    </row>
    <row r="42" spans="2:6" ht="15.75">
      <c r="B42" s="14">
        <v>43542</v>
      </c>
      <c r="C42" s="33">
        <v>1903039</v>
      </c>
      <c r="D42" s="39" t="s">
        <v>134</v>
      </c>
      <c r="E42" s="17"/>
      <c r="F42" s="17">
        <v>17000</v>
      </c>
    </row>
    <row r="43" spans="2:6" ht="15.75">
      <c r="B43" s="14">
        <v>43542</v>
      </c>
      <c r="C43" s="33">
        <v>1903040</v>
      </c>
      <c r="D43" s="39" t="s">
        <v>176</v>
      </c>
      <c r="E43" s="17"/>
      <c r="F43" s="17">
        <v>10620</v>
      </c>
    </row>
    <row r="44" spans="2:6" ht="15.75">
      <c r="B44" s="14">
        <v>43542</v>
      </c>
      <c r="C44" s="33">
        <v>1903041</v>
      </c>
      <c r="D44" s="39" t="s">
        <v>482</v>
      </c>
      <c r="E44" s="17"/>
      <c r="F44" s="17">
        <v>15000</v>
      </c>
    </row>
    <row r="45" spans="2:6" ht="15.75">
      <c r="B45" s="14">
        <v>43542</v>
      </c>
      <c r="C45" s="33">
        <v>1903042</v>
      </c>
      <c r="D45" s="39" t="s">
        <v>481</v>
      </c>
      <c r="E45" s="17">
        <f>29270+7180+78452+7392+22986+8972</f>
        <v>154252</v>
      </c>
      <c r="F45" s="17"/>
    </row>
    <row r="46" spans="2:6" ht="15.75">
      <c r="B46" s="14">
        <v>43543</v>
      </c>
      <c r="C46" s="33">
        <v>1903043</v>
      </c>
      <c r="D46" s="39" t="s">
        <v>480</v>
      </c>
      <c r="E46" s="17"/>
      <c r="F46" s="17">
        <v>3751</v>
      </c>
    </row>
    <row r="47" spans="2:6" ht="15.75">
      <c r="B47" s="14">
        <v>43543</v>
      </c>
      <c r="C47" s="33">
        <v>1903044</v>
      </c>
      <c r="D47" s="39" t="s">
        <v>479</v>
      </c>
      <c r="E47" s="17"/>
      <c r="F47" s="17">
        <v>73550</v>
      </c>
    </row>
    <row r="48" spans="2:6" ht="15.75">
      <c r="B48" s="14">
        <v>43543</v>
      </c>
      <c r="C48" s="33">
        <v>1903045</v>
      </c>
      <c r="D48" s="39" t="s">
        <v>478</v>
      </c>
      <c r="E48" s="17"/>
      <c r="F48" s="17">
        <v>680000</v>
      </c>
    </row>
    <row r="49" spans="2:8" ht="15.75">
      <c r="B49" s="14">
        <v>43543</v>
      </c>
      <c r="C49" s="33">
        <v>1903046</v>
      </c>
      <c r="D49" s="39" t="s">
        <v>477</v>
      </c>
      <c r="E49" s="17">
        <f>9729+4720+39979</f>
        <v>54428</v>
      </c>
      <c r="F49" s="17"/>
    </row>
    <row r="50" spans="2:8" ht="15.75">
      <c r="B50" s="14">
        <v>43544</v>
      </c>
      <c r="C50" s="33">
        <v>1903047</v>
      </c>
      <c r="D50" s="39" t="s">
        <v>29</v>
      </c>
      <c r="E50" s="17"/>
      <c r="F50" s="17">
        <v>3000</v>
      </c>
    </row>
    <row r="51" spans="2:8" ht="15.75">
      <c r="B51" s="14">
        <v>43544</v>
      </c>
      <c r="C51" s="33">
        <v>1903048</v>
      </c>
      <c r="D51" s="39" t="s">
        <v>411</v>
      </c>
      <c r="E51" s="17"/>
      <c r="F51" s="17">
        <v>39100</v>
      </c>
    </row>
    <row r="52" spans="2:8" ht="15.75">
      <c r="B52" s="14">
        <v>43544</v>
      </c>
      <c r="C52" s="33">
        <v>1903049</v>
      </c>
      <c r="D52" s="78" t="s">
        <v>476</v>
      </c>
      <c r="E52" s="17"/>
      <c r="F52" s="17">
        <v>25000</v>
      </c>
      <c r="H52" s="30"/>
    </row>
    <row r="53" spans="2:8" ht="15.75">
      <c r="B53" s="14">
        <v>43544</v>
      </c>
      <c r="C53" s="33">
        <v>1903050</v>
      </c>
      <c r="D53" s="39" t="s">
        <v>475</v>
      </c>
      <c r="E53" s="17">
        <f>21163+69956</f>
        <v>91119</v>
      </c>
      <c r="F53" s="17"/>
    </row>
    <row r="54" spans="2:8" ht="15.75">
      <c r="B54" s="14">
        <v>43545</v>
      </c>
      <c r="C54" s="33">
        <v>1903051</v>
      </c>
      <c r="D54" s="39" t="s">
        <v>474</v>
      </c>
      <c r="E54" s="17"/>
      <c r="F54" s="17">
        <v>40000</v>
      </c>
    </row>
    <row r="55" spans="2:8" ht="15.75">
      <c r="B55" s="14">
        <v>43545</v>
      </c>
      <c r="C55" s="33">
        <v>1903052</v>
      </c>
      <c r="D55" s="39" t="s">
        <v>473</v>
      </c>
      <c r="E55" s="17"/>
      <c r="F55" s="17">
        <v>33000</v>
      </c>
    </row>
    <row r="56" spans="2:8" ht="15.75">
      <c r="B56" s="14">
        <v>43545</v>
      </c>
      <c r="C56" s="33">
        <v>1903053</v>
      </c>
      <c r="D56" s="39" t="s">
        <v>472</v>
      </c>
      <c r="E56" s="17">
        <f>171845+20913+19641+53493+85272</f>
        <v>351164</v>
      </c>
      <c r="F56" s="17"/>
    </row>
    <row r="57" spans="2:8" ht="15.75">
      <c r="B57" s="14">
        <v>43546</v>
      </c>
      <c r="C57" s="33">
        <v>1903054</v>
      </c>
      <c r="D57" s="39" t="s">
        <v>471</v>
      </c>
      <c r="E57" s="17"/>
      <c r="F57" s="17">
        <v>5000</v>
      </c>
    </row>
    <row r="58" spans="2:8" ht="15.75">
      <c r="B58" s="14">
        <v>43546</v>
      </c>
      <c r="C58" s="33">
        <v>1903055</v>
      </c>
      <c r="D58" s="39" t="s">
        <v>470</v>
      </c>
      <c r="E58" s="17"/>
      <c r="F58" s="17">
        <v>200000</v>
      </c>
    </row>
    <row r="59" spans="2:8" ht="15.75">
      <c r="B59" s="14">
        <v>43546</v>
      </c>
      <c r="C59" s="33">
        <v>1903056</v>
      </c>
      <c r="D59" s="39" t="s">
        <v>469</v>
      </c>
      <c r="E59" s="17">
        <f>11806+29836+14520+85768+43524+8767</f>
        <v>194221</v>
      </c>
      <c r="F59" s="17"/>
    </row>
    <row r="60" spans="2:8" ht="15.75">
      <c r="B60" s="14">
        <v>43546</v>
      </c>
      <c r="C60" s="33">
        <v>1903057</v>
      </c>
      <c r="D60" s="39" t="s">
        <v>468</v>
      </c>
      <c r="E60" s="17"/>
      <c r="F60" s="17">
        <v>34000</v>
      </c>
    </row>
    <row r="61" spans="2:8" ht="15.75">
      <c r="B61" s="14">
        <v>85</v>
      </c>
      <c r="C61" s="33">
        <v>1903058</v>
      </c>
      <c r="D61" s="39" t="s">
        <v>467</v>
      </c>
      <c r="E61" s="17">
        <f>10484+36710+34886+12938+4647+10656+7652+8525</f>
        <v>126498</v>
      </c>
      <c r="F61" s="17"/>
      <c r="H61" s="30"/>
    </row>
    <row r="62" spans="2:8" ht="15.75">
      <c r="B62" s="14">
        <v>43550</v>
      </c>
      <c r="C62" s="33">
        <v>1903059</v>
      </c>
      <c r="D62" s="39" t="s">
        <v>283</v>
      </c>
      <c r="E62" s="17">
        <v>200000</v>
      </c>
      <c r="F62" s="17"/>
    </row>
    <row r="63" spans="2:8" ht="15.75">
      <c r="B63" s="14">
        <v>43550</v>
      </c>
      <c r="C63" s="33">
        <v>1903060</v>
      </c>
      <c r="D63" s="39" t="s">
        <v>466</v>
      </c>
      <c r="E63" s="17">
        <f>16399+21057+78452+3540+12889+9068-11706+17800+13410+14260</f>
        <v>175169</v>
      </c>
      <c r="F63" s="17"/>
    </row>
    <row r="64" spans="2:8" ht="15.75">
      <c r="B64" s="14">
        <v>43551</v>
      </c>
      <c r="C64" s="33">
        <v>1903061</v>
      </c>
      <c r="D64" s="39" t="s">
        <v>33</v>
      </c>
      <c r="E64" s="17"/>
      <c r="F64" s="17">
        <v>38214</v>
      </c>
    </row>
    <row r="65" spans="2:6" ht="15.75">
      <c r="B65" s="14">
        <v>43551</v>
      </c>
      <c r="C65" s="33">
        <v>1903062</v>
      </c>
      <c r="D65" s="39" t="s">
        <v>134</v>
      </c>
      <c r="E65" s="17"/>
      <c r="F65" s="17">
        <v>100100</v>
      </c>
    </row>
    <row r="66" spans="2:6" ht="15.75">
      <c r="B66" s="14">
        <v>43551</v>
      </c>
      <c r="C66" s="33">
        <v>1903063</v>
      </c>
      <c r="D66" s="39" t="s">
        <v>196</v>
      </c>
      <c r="E66" s="17"/>
      <c r="F66" s="17">
        <v>12000</v>
      </c>
    </row>
    <row r="67" spans="2:6" ht="15.75">
      <c r="B67" s="14">
        <v>43551</v>
      </c>
      <c r="C67" s="33">
        <v>1903064</v>
      </c>
      <c r="D67" s="39" t="s">
        <v>465</v>
      </c>
      <c r="E67" s="17">
        <f>48244+11535+8725</f>
        <v>68504</v>
      </c>
      <c r="F67" s="17"/>
    </row>
    <row r="68" spans="2:6" ht="15.75">
      <c r="B68" s="14">
        <v>43552</v>
      </c>
      <c r="C68" s="33">
        <v>1903065</v>
      </c>
      <c r="D68" s="39" t="s">
        <v>464</v>
      </c>
      <c r="E68" s="17"/>
      <c r="F68" s="17">
        <v>105000</v>
      </c>
    </row>
    <row r="69" spans="2:6" ht="15.75">
      <c r="B69" s="54">
        <v>43552</v>
      </c>
      <c r="C69" s="33">
        <v>1903066</v>
      </c>
      <c r="D69" s="39" t="s">
        <v>463</v>
      </c>
      <c r="E69" s="17">
        <f>186751+47300+40503+284707+30634+18031</f>
        <v>607926</v>
      </c>
      <c r="F69" s="17"/>
    </row>
    <row r="70" spans="2:6" ht="15.75">
      <c r="B70" s="54">
        <v>43552</v>
      </c>
      <c r="C70" s="33">
        <v>1903067</v>
      </c>
      <c r="D70" s="39" t="s">
        <v>462</v>
      </c>
      <c r="E70" s="17"/>
      <c r="F70" s="17">
        <v>155000</v>
      </c>
    </row>
    <row r="71" spans="2:6" ht="15.75">
      <c r="B71" s="54">
        <v>43552</v>
      </c>
      <c r="C71" s="33">
        <v>1903068</v>
      </c>
      <c r="D71" s="39" t="s">
        <v>461</v>
      </c>
      <c r="E71" s="17"/>
      <c r="F71" s="17">
        <v>31000</v>
      </c>
    </row>
    <row r="72" spans="2:6" ht="15.75">
      <c r="B72" s="14">
        <v>43553</v>
      </c>
      <c r="C72" s="33">
        <v>1903069</v>
      </c>
      <c r="D72" s="39" t="s">
        <v>54</v>
      </c>
      <c r="E72" s="17"/>
      <c r="F72" s="17">
        <v>2500</v>
      </c>
    </row>
    <row r="73" spans="2:6" ht="15.75">
      <c r="B73" s="14">
        <v>43553</v>
      </c>
      <c r="C73" s="33">
        <v>1903070</v>
      </c>
      <c r="D73" s="39" t="s">
        <v>460</v>
      </c>
      <c r="E73" s="17"/>
      <c r="F73" s="17">
        <v>115000</v>
      </c>
    </row>
    <row r="74" spans="2:6" ht="15.75">
      <c r="B74" s="14">
        <v>43553</v>
      </c>
      <c r="C74" s="33">
        <v>1903071</v>
      </c>
      <c r="D74" s="39" t="s">
        <v>459</v>
      </c>
      <c r="E74" s="17"/>
      <c r="F74" s="17">
        <v>99135</v>
      </c>
    </row>
    <row r="75" spans="2:6" ht="15.75">
      <c r="B75" s="14">
        <v>43553</v>
      </c>
      <c r="C75" s="33">
        <v>1903072</v>
      </c>
      <c r="D75" s="39" t="s">
        <v>458</v>
      </c>
      <c r="E75" s="17"/>
      <c r="F75" s="17">
        <v>2000000</v>
      </c>
    </row>
    <row r="76" spans="2:6" ht="15.75">
      <c r="B76" s="14">
        <v>43554</v>
      </c>
      <c r="C76" s="33">
        <v>1903073</v>
      </c>
      <c r="D76" s="39" t="s">
        <v>457</v>
      </c>
      <c r="E76" s="17"/>
      <c r="F76" s="17">
        <v>46000</v>
      </c>
    </row>
    <row r="77" spans="2:6" ht="15.75">
      <c r="B77" s="14">
        <v>43554</v>
      </c>
      <c r="C77" s="33">
        <v>1903074</v>
      </c>
      <c r="D77" s="39" t="s">
        <v>456</v>
      </c>
      <c r="E77" s="17">
        <f>27967+9129+71844+7547</f>
        <v>116487</v>
      </c>
      <c r="F77" s="17"/>
    </row>
    <row r="78" spans="2:6" ht="15.75">
      <c r="B78" s="18"/>
      <c r="C78" s="19"/>
      <c r="D78" s="20"/>
      <c r="E78" s="17">
        <f>SUM(E3:E77)</f>
        <v>7052101</v>
      </c>
      <c r="F78" s="17">
        <f>SUM(F3:F77)</f>
        <v>7024076</v>
      </c>
    </row>
    <row r="79" spans="2:6" ht="15.75">
      <c r="B79" s="18"/>
      <c r="C79" s="19"/>
      <c r="D79" s="20"/>
      <c r="E79" s="80"/>
      <c r="F79" s="80"/>
    </row>
    <row r="80" spans="2:6">
      <c r="B80" s="5"/>
      <c r="C80" s="27"/>
      <c r="E80" s="21" t="s">
        <v>6</v>
      </c>
      <c r="F80" s="17">
        <f>E78-F78</f>
        <v>28025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J70"/>
  <sheetViews>
    <sheetView topLeftCell="A64" workbookViewId="0">
      <selection activeCell="F70" sqref="F70"/>
    </sheetView>
  </sheetViews>
  <sheetFormatPr baseColWidth="10" defaultRowHeight="15"/>
  <cols>
    <col min="3" max="3" width="11.28515625" customWidth="1"/>
    <col min="4" max="4" width="50.140625" bestFit="1" customWidth="1"/>
    <col min="5" max="6" width="14.140625" bestFit="1" customWidth="1"/>
    <col min="8" max="8" width="13.85546875" customWidth="1"/>
    <col min="9" max="9" width="14.42578125" customWidth="1"/>
    <col min="10" max="10" width="11.7109375" bestFit="1" customWidth="1"/>
  </cols>
  <sheetData>
    <row r="2" spans="2:6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6">
      <c r="B3" s="6">
        <v>43556</v>
      </c>
      <c r="C3" s="22"/>
      <c r="D3" s="8" t="s">
        <v>487</v>
      </c>
      <c r="E3" s="24">
        <f>'MARS 2019'!F80</f>
        <v>28025</v>
      </c>
      <c r="F3" s="24"/>
    </row>
    <row r="4" spans="2:6" ht="15.75">
      <c r="B4" s="14">
        <v>43556</v>
      </c>
      <c r="C4" s="15">
        <v>1904001</v>
      </c>
      <c r="D4" s="39" t="s">
        <v>488</v>
      </c>
      <c r="E4" s="55">
        <f>519700+69427+11617+9030+12387</f>
        <v>622161</v>
      </c>
      <c r="F4" s="55"/>
    </row>
    <row r="5" spans="2:6" ht="15.75">
      <c r="B5" s="14">
        <v>43557</v>
      </c>
      <c r="C5" s="15">
        <v>1904002</v>
      </c>
      <c r="D5" s="39" t="s">
        <v>489</v>
      </c>
      <c r="E5" s="55"/>
      <c r="F5" s="55">
        <v>250000</v>
      </c>
    </row>
    <row r="6" spans="2:6" ht="15.75">
      <c r="B6" s="14">
        <v>43557</v>
      </c>
      <c r="C6" s="15">
        <v>1904003</v>
      </c>
      <c r="D6" s="39" t="s">
        <v>490</v>
      </c>
      <c r="E6" s="55"/>
      <c r="F6" s="55">
        <v>128537</v>
      </c>
    </row>
    <row r="7" spans="2:6" ht="15.75">
      <c r="B7" s="14">
        <v>43557</v>
      </c>
      <c r="C7" s="15">
        <v>1904004</v>
      </c>
      <c r="D7" s="39" t="s">
        <v>491</v>
      </c>
      <c r="E7" s="55">
        <f>12918+4331+27983+11428</f>
        <v>56660</v>
      </c>
      <c r="F7" s="39"/>
    </row>
    <row r="8" spans="2:6" ht="15.75">
      <c r="B8" s="14">
        <v>43558</v>
      </c>
      <c r="C8" s="15">
        <v>1904005</v>
      </c>
      <c r="D8" s="39" t="s">
        <v>492</v>
      </c>
      <c r="E8" s="55"/>
      <c r="F8" s="55">
        <v>48000</v>
      </c>
    </row>
    <row r="9" spans="2:6" ht="15.75">
      <c r="B9" s="14">
        <v>43558</v>
      </c>
      <c r="C9" s="15">
        <v>1904006</v>
      </c>
      <c r="D9" s="39" t="s">
        <v>493</v>
      </c>
      <c r="E9" s="55">
        <f>19910+6236+40060+21812+12254+146304</f>
        <v>246576</v>
      </c>
      <c r="F9" s="55"/>
    </row>
    <row r="10" spans="2:6" ht="15.75">
      <c r="B10" s="14">
        <v>43559</v>
      </c>
      <c r="C10" s="15">
        <v>1904007</v>
      </c>
      <c r="D10" s="39" t="s">
        <v>494</v>
      </c>
      <c r="E10" s="55"/>
      <c r="F10" s="55">
        <v>1000</v>
      </c>
    </row>
    <row r="11" spans="2:6" ht="15.75">
      <c r="B11" s="14">
        <v>43559</v>
      </c>
      <c r="C11" s="15">
        <v>1904008</v>
      </c>
      <c r="D11" s="39" t="s">
        <v>495</v>
      </c>
      <c r="E11" s="55">
        <f>85060+63088</f>
        <v>148148</v>
      </c>
      <c r="F11" s="55"/>
    </row>
    <row r="12" spans="2:6" ht="15.75">
      <c r="B12" s="14">
        <v>96</v>
      </c>
      <c r="C12" s="15">
        <v>1904009</v>
      </c>
      <c r="D12" s="39" t="s">
        <v>301</v>
      </c>
      <c r="E12" s="55"/>
      <c r="F12" s="55">
        <v>270000</v>
      </c>
    </row>
    <row r="13" spans="2:6" ht="15.75">
      <c r="B13" s="14">
        <v>43560</v>
      </c>
      <c r="C13" s="15">
        <v>1904010</v>
      </c>
      <c r="D13" s="39" t="s">
        <v>496</v>
      </c>
      <c r="E13" s="55"/>
      <c r="F13" s="55">
        <v>25000</v>
      </c>
    </row>
    <row r="14" spans="2:6" ht="15.75">
      <c r="B14" s="14">
        <v>43563</v>
      </c>
      <c r="C14" s="15">
        <v>1904011</v>
      </c>
      <c r="D14" s="39" t="s">
        <v>497</v>
      </c>
      <c r="E14" s="55"/>
      <c r="F14" s="55">
        <v>500</v>
      </c>
    </row>
    <row r="15" spans="2:6" ht="15.75">
      <c r="B15" s="14">
        <v>43563</v>
      </c>
      <c r="C15" s="15">
        <v>1904012</v>
      </c>
      <c r="D15" s="39" t="s">
        <v>498</v>
      </c>
      <c r="E15" s="55"/>
      <c r="F15" s="55">
        <v>30000</v>
      </c>
    </row>
    <row r="16" spans="2:6" ht="15.75">
      <c r="B16" s="14">
        <v>43563</v>
      </c>
      <c r="C16" s="15">
        <v>1904013</v>
      </c>
      <c r="D16" s="39" t="s">
        <v>499</v>
      </c>
      <c r="E16" s="55">
        <f>45884+58628+19216+10681+6236+33848</f>
        <v>174493</v>
      </c>
      <c r="F16" s="39"/>
    </row>
    <row r="17" spans="2:10" ht="15.75">
      <c r="B17" s="14">
        <v>43564</v>
      </c>
      <c r="C17" s="15">
        <v>1904014</v>
      </c>
      <c r="D17" s="39" t="s">
        <v>500</v>
      </c>
      <c r="E17" s="55"/>
      <c r="F17" s="55">
        <v>1000</v>
      </c>
    </row>
    <row r="18" spans="2:10" ht="15.75">
      <c r="B18" s="14">
        <v>43564</v>
      </c>
      <c r="C18" s="15">
        <v>1904015</v>
      </c>
      <c r="D18" s="39" t="s">
        <v>501</v>
      </c>
      <c r="E18" s="55"/>
      <c r="F18" s="55">
        <v>3000</v>
      </c>
    </row>
    <row r="19" spans="2:10" ht="15.75">
      <c r="B19" s="14">
        <v>43564</v>
      </c>
      <c r="C19" s="15">
        <v>1904016</v>
      </c>
      <c r="D19" s="39" t="s">
        <v>33</v>
      </c>
      <c r="E19" s="55"/>
      <c r="F19" s="55">
        <v>31252</v>
      </c>
      <c r="H19" s="42"/>
      <c r="I19" s="42"/>
      <c r="J19" s="43"/>
    </row>
    <row r="20" spans="2:10" ht="15.75">
      <c r="B20" s="14">
        <v>43564</v>
      </c>
      <c r="C20" s="15">
        <v>1904017</v>
      </c>
      <c r="D20" s="39" t="s">
        <v>502</v>
      </c>
      <c r="E20" s="55">
        <f>11384+14555</f>
        <v>25939</v>
      </c>
      <c r="F20" s="55"/>
      <c r="H20" s="44"/>
      <c r="I20" s="42"/>
      <c r="J20" s="45"/>
    </row>
    <row r="21" spans="2:10" ht="15.75">
      <c r="B21" s="14">
        <v>43565</v>
      </c>
      <c r="C21" s="15">
        <v>1904018</v>
      </c>
      <c r="D21" s="39" t="s">
        <v>196</v>
      </c>
      <c r="E21" s="55"/>
      <c r="F21" s="55">
        <v>16000</v>
      </c>
      <c r="H21" s="44"/>
      <c r="I21" s="42"/>
      <c r="J21" s="45"/>
    </row>
    <row r="22" spans="2:10" ht="15.75">
      <c r="B22" s="14">
        <v>43565</v>
      </c>
      <c r="C22" s="15">
        <v>1904019</v>
      </c>
      <c r="D22" s="39" t="s">
        <v>346</v>
      </c>
      <c r="E22" s="55"/>
      <c r="F22" s="55">
        <v>100755</v>
      </c>
      <c r="G22" s="30"/>
    </row>
    <row r="23" spans="2:10" ht="15.75">
      <c r="B23" s="14">
        <v>43565</v>
      </c>
      <c r="C23" s="15">
        <v>1904020</v>
      </c>
      <c r="D23" s="39" t="s">
        <v>33</v>
      </c>
      <c r="E23" s="55"/>
      <c r="F23" s="55">
        <v>80787</v>
      </c>
    </row>
    <row r="24" spans="2:10" ht="15.75">
      <c r="B24" s="14">
        <v>43565</v>
      </c>
      <c r="C24" s="15">
        <v>1904021</v>
      </c>
      <c r="D24" s="39" t="s">
        <v>503</v>
      </c>
      <c r="E24" s="55"/>
      <c r="F24" s="55">
        <v>60000</v>
      </c>
    </row>
    <row r="25" spans="2:10" ht="15.75">
      <c r="B25" s="14">
        <v>43565</v>
      </c>
      <c r="C25" s="15">
        <v>1904022</v>
      </c>
      <c r="D25" s="39" t="s">
        <v>504</v>
      </c>
      <c r="E25" s="55">
        <v>6600</v>
      </c>
      <c r="F25" s="55"/>
    </row>
    <row r="26" spans="2:10" ht="15.75">
      <c r="B26" s="14">
        <v>43565</v>
      </c>
      <c r="C26" s="15">
        <v>1904023</v>
      </c>
      <c r="D26" s="39" t="s">
        <v>505</v>
      </c>
      <c r="E26" s="55">
        <f>5098+30662+138560</f>
        <v>174320</v>
      </c>
      <c r="F26" s="39"/>
    </row>
    <row r="27" spans="2:10" ht="15.75">
      <c r="B27" s="14">
        <v>43566</v>
      </c>
      <c r="C27" s="15">
        <v>1904024</v>
      </c>
      <c r="D27" s="39" t="s">
        <v>506</v>
      </c>
      <c r="E27" s="55"/>
      <c r="F27" s="55">
        <v>245000</v>
      </c>
    </row>
    <row r="28" spans="2:10" ht="15.75">
      <c r="B28" s="14">
        <v>43566</v>
      </c>
      <c r="C28" s="33">
        <v>1904025</v>
      </c>
      <c r="D28" s="78" t="s">
        <v>507</v>
      </c>
      <c r="E28" s="55">
        <f>45620+18726+6236+7180</f>
        <v>77762</v>
      </c>
      <c r="F28" s="55"/>
    </row>
    <row r="29" spans="2:10" ht="15.75">
      <c r="B29" s="14">
        <v>43567</v>
      </c>
      <c r="C29" s="15">
        <v>1904026</v>
      </c>
      <c r="D29" s="39" t="s">
        <v>497</v>
      </c>
      <c r="E29" s="55"/>
      <c r="F29" s="55">
        <v>1000</v>
      </c>
    </row>
    <row r="30" spans="2:10" ht="15.75">
      <c r="B30" s="14">
        <v>43567</v>
      </c>
      <c r="C30" s="15">
        <v>1904027</v>
      </c>
      <c r="D30" s="39" t="s">
        <v>508</v>
      </c>
      <c r="E30" s="55">
        <f>68068+15709+22756+17653+20573</f>
        <v>144759</v>
      </c>
      <c r="F30" s="55"/>
    </row>
    <row r="31" spans="2:10" ht="15.75">
      <c r="B31" s="14">
        <v>43567</v>
      </c>
      <c r="C31" s="15">
        <v>1904028</v>
      </c>
      <c r="D31" s="39" t="s">
        <v>509</v>
      </c>
      <c r="E31" s="55"/>
      <c r="F31" s="55">
        <v>50000</v>
      </c>
    </row>
    <row r="32" spans="2:10" ht="15.75">
      <c r="B32" s="14">
        <v>43570</v>
      </c>
      <c r="C32" s="15">
        <v>1904029</v>
      </c>
      <c r="D32" s="39" t="s">
        <v>510</v>
      </c>
      <c r="E32" s="55"/>
      <c r="F32" s="55">
        <v>1000</v>
      </c>
    </row>
    <row r="33" spans="2:6" ht="15.75">
      <c r="B33" s="14">
        <v>43570</v>
      </c>
      <c r="C33" s="15">
        <v>1904030</v>
      </c>
      <c r="D33" s="39" t="s">
        <v>134</v>
      </c>
      <c r="E33" s="55"/>
      <c r="F33" s="55">
        <v>100100</v>
      </c>
    </row>
    <row r="34" spans="2:6" ht="15.75">
      <c r="B34" s="14">
        <v>43570</v>
      </c>
      <c r="C34" s="15">
        <v>1904031</v>
      </c>
      <c r="D34" s="39" t="s">
        <v>511</v>
      </c>
      <c r="E34" s="55"/>
      <c r="F34" s="55">
        <v>400007</v>
      </c>
    </row>
    <row r="35" spans="2:6" ht="15.75">
      <c r="B35" s="14">
        <v>43570</v>
      </c>
      <c r="C35" s="15">
        <v>1904032</v>
      </c>
      <c r="D35" s="39" t="s">
        <v>512</v>
      </c>
      <c r="E35" s="55">
        <f>5286+20160+42580+65071+56770</f>
        <v>189867</v>
      </c>
      <c r="F35" s="55"/>
    </row>
    <row r="36" spans="2:6" ht="15.75">
      <c r="B36" s="14">
        <v>43571</v>
      </c>
      <c r="C36" s="15">
        <v>1904033</v>
      </c>
      <c r="D36" s="39" t="s">
        <v>513</v>
      </c>
      <c r="E36" s="55"/>
      <c r="F36" s="55">
        <v>30000</v>
      </c>
    </row>
    <row r="37" spans="2:6" ht="15.75">
      <c r="B37" s="14">
        <v>43571</v>
      </c>
      <c r="C37" s="15">
        <v>1904034</v>
      </c>
      <c r="D37" s="16" t="s">
        <v>514</v>
      </c>
      <c r="E37" s="55"/>
      <c r="F37" s="55">
        <v>15000</v>
      </c>
    </row>
    <row r="38" spans="2:6" ht="15.75">
      <c r="B38" s="14">
        <v>43571</v>
      </c>
      <c r="C38" s="15">
        <v>1904035</v>
      </c>
      <c r="D38" s="16" t="s">
        <v>515</v>
      </c>
      <c r="E38" s="55">
        <f>226095+22225</f>
        <v>248320</v>
      </c>
      <c r="F38" s="55"/>
    </row>
    <row r="39" spans="2:6" ht="15.75">
      <c r="B39" s="14">
        <v>43571</v>
      </c>
      <c r="C39" s="15">
        <v>1904036</v>
      </c>
      <c r="D39" s="16" t="s">
        <v>516</v>
      </c>
      <c r="E39" s="55">
        <v>137511</v>
      </c>
      <c r="F39" s="55"/>
    </row>
    <row r="40" spans="2:6" ht="15.75">
      <c r="B40" s="14">
        <v>43572</v>
      </c>
      <c r="C40" s="15">
        <v>1904037</v>
      </c>
      <c r="D40" s="39" t="s">
        <v>517</v>
      </c>
      <c r="E40" s="55">
        <f>12995+6295+18838+2900+3570</f>
        <v>44598</v>
      </c>
      <c r="F40" s="55"/>
    </row>
    <row r="41" spans="2:6" ht="15.75">
      <c r="B41" s="14">
        <v>43573</v>
      </c>
      <c r="C41" s="15">
        <v>1904038</v>
      </c>
      <c r="D41" s="16" t="s">
        <v>301</v>
      </c>
      <c r="E41" s="55"/>
      <c r="F41" s="55">
        <v>95000</v>
      </c>
    </row>
    <row r="42" spans="2:6" ht="15.75">
      <c r="B42" s="14">
        <v>43573</v>
      </c>
      <c r="C42" s="15">
        <v>1904039</v>
      </c>
      <c r="D42" s="39" t="s">
        <v>301</v>
      </c>
      <c r="E42" s="55"/>
      <c r="F42" s="55">
        <v>80000</v>
      </c>
    </row>
    <row r="43" spans="2:6" ht="15.75">
      <c r="B43" s="14">
        <v>43573</v>
      </c>
      <c r="C43" s="15">
        <v>1904040</v>
      </c>
      <c r="D43" s="16" t="s">
        <v>518</v>
      </c>
      <c r="E43" s="55">
        <f>33305+9238+19924+175461+60516+52728+14182+12236+36350</f>
        <v>413940</v>
      </c>
      <c r="F43" s="55"/>
    </row>
    <row r="44" spans="2:6" ht="15.75">
      <c r="B44" s="14">
        <v>43574</v>
      </c>
      <c r="C44" s="15">
        <v>1904041</v>
      </c>
      <c r="D44" s="16" t="s">
        <v>519</v>
      </c>
      <c r="E44" s="55"/>
      <c r="F44" s="55">
        <v>40000</v>
      </c>
    </row>
    <row r="45" spans="2:6" ht="15.75">
      <c r="B45" s="14">
        <v>43574</v>
      </c>
      <c r="C45" s="15">
        <v>1904042</v>
      </c>
      <c r="D45" s="16" t="s">
        <v>520</v>
      </c>
      <c r="E45" s="55"/>
      <c r="F45" s="55">
        <v>42000</v>
      </c>
    </row>
    <row r="46" spans="2:6" ht="15.75">
      <c r="B46" s="14">
        <v>43578</v>
      </c>
      <c r="C46" s="15">
        <v>1904043</v>
      </c>
      <c r="D46" s="16" t="s">
        <v>521</v>
      </c>
      <c r="E46" s="55"/>
      <c r="F46" s="55">
        <v>6000</v>
      </c>
    </row>
    <row r="47" spans="2:6" ht="15.75">
      <c r="B47" s="14">
        <v>43578</v>
      </c>
      <c r="C47" s="15">
        <v>1904044</v>
      </c>
      <c r="D47" s="16" t="s">
        <v>522</v>
      </c>
      <c r="E47" s="55"/>
      <c r="F47" s="55">
        <v>105000</v>
      </c>
    </row>
    <row r="48" spans="2:6" ht="15.75">
      <c r="B48" s="14">
        <v>43578</v>
      </c>
      <c r="C48" s="15">
        <v>1904045</v>
      </c>
      <c r="D48" s="16" t="s">
        <v>523</v>
      </c>
      <c r="E48" s="55"/>
      <c r="F48" s="55">
        <v>39100</v>
      </c>
    </row>
    <row r="49" spans="2:6" ht="15.75">
      <c r="B49" s="14">
        <v>43578</v>
      </c>
      <c r="C49" s="33">
        <v>1904046</v>
      </c>
      <c r="D49" s="12" t="s">
        <v>524</v>
      </c>
      <c r="E49" s="55">
        <f>47826+50002+54380</f>
        <v>152208</v>
      </c>
      <c r="F49" s="55"/>
    </row>
    <row r="50" spans="2:6" ht="15.75">
      <c r="B50" s="14">
        <v>43579</v>
      </c>
      <c r="C50" s="15">
        <v>1904047</v>
      </c>
      <c r="D50" s="16" t="s">
        <v>39</v>
      </c>
      <c r="E50" s="55"/>
      <c r="F50" s="55">
        <v>6000</v>
      </c>
    </row>
    <row r="51" spans="2:6" ht="15.75">
      <c r="B51" s="14">
        <v>43579</v>
      </c>
      <c r="C51" s="15">
        <v>1904048</v>
      </c>
      <c r="D51" s="16" t="s">
        <v>358</v>
      </c>
      <c r="E51" s="55"/>
      <c r="F51" s="55">
        <v>3755</v>
      </c>
    </row>
    <row r="52" spans="2:6" ht="15.75">
      <c r="B52" s="14">
        <v>43579</v>
      </c>
      <c r="C52" s="15">
        <v>1904049</v>
      </c>
      <c r="D52" s="16" t="s">
        <v>525</v>
      </c>
      <c r="E52" s="55"/>
      <c r="F52" s="55">
        <v>60000</v>
      </c>
    </row>
    <row r="53" spans="2:6" ht="15.75">
      <c r="B53" s="14">
        <v>43579</v>
      </c>
      <c r="C53" s="15">
        <v>1904050</v>
      </c>
      <c r="D53" s="16" t="s">
        <v>526</v>
      </c>
      <c r="E53" s="55">
        <f>6030+4814+7623+62950+22225</f>
        <v>103642</v>
      </c>
      <c r="F53" s="55"/>
    </row>
    <row r="54" spans="2:6" ht="15.75">
      <c r="B54" s="14">
        <v>43580</v>
      </c>
      <c r="C54" s="15">
        <v>1904051</v>
      </c>
      <c r="D54" s="16" t="s">
        <v>283</v>
      </c>
      <c r="E54" s="55">
        <v>200000</v>
      </c>
      <c r="F54" s="55"/>
    </row>
    <row r="55" spans="2:6" ht="15.75">
      <c r="B55" s="14">
        <v>43580</v>
      </c>
      <c r="C55" s="15">
        <v>1904052</v>
      </c>
      <c r="D55" s="16" t="s">
        <v>527</v>
      </c>
      <c r="E55" s="55">
        <f>6640+3044+40847</f>
        <v>50531</v>
      </c>
      <c r="F55" s="55"/>
    </row>
    <row r="56" spans="2:6" ht="15.75">
      <c r="B56" s="14">
        <v>43581</v>
      </c>
      <c r="C56" s="15">
        <v>1904053</v>
      </c>
      <c r="D56" s="16" t="s">
        <v>511</v>
      </c>
      <c r="E56" s="55"/>
      <c r="F56" s="55">
        <v>307014</v>
      </c>
    </row>
    <row r="57" spans="2:6" ht="15.75">
      <c r="B57" s="14">
        <v>43581</v>
      </c>
      <c r="C57" s="15">
        <v>1904054</v>
      </c>
      <c r="D57" s="16" t="s">
        <v>528</v>
      </c>
      <c r="E57" s="55"/>
      <c r="F57" s="55">
        <v>30000</v>
      </c>
    </row>
    <row r="58" spans="2:6" ht="15.75">
      <c r="B58" s="14">
        <v>43584</v>
      </c>
      <c r="C58" s="15">
        <v>1904055</v>
      </c>
      <c r="D58" s="16" t="s">
        <v>134</v>
      </c>
      <c r="E58" s="55"/>
      <c r="F58" s="55">
        <v>10000</v>
      </c>
    </row>
    <row r="59" spans="2:6" ht="15.75">
      <c r="B59" s="14">
        <v>43584</v>
      </c>
      <c r="C59" s="15">
        <v>1904056</v>
      </c>
      <c r="D59" s="16" t="s">
        <v>196</v>
      </c>
      <c r="E59" s="55"/>
      <c r="F59" s="55">
        <v>16000</v>
      </c>
    </row>
    <row r="60" spans="2:6" ht="15.75">
      <c r="B60" s="14">
        <v>43584</v>
      </c>
      <c r="C60" s="15">
        <v>1904057</v>
      </c>
      <c r="D60" s="16" t="s">
        <v>529</v>
      </c>
      <c r="E60" s="55">
        <v>80000</v>
      </c>
      <c r="F60" s="55"/>
    </row>
    <row r="61" spans="2:6" ht="15.75">
      <c r="B61" s="14">
        <v>43584</v>
      </c>
      <c r="C61" s="15">
        <v>1904058</v>
      </c>
      <c r="D61" s="16" t="s">
        <v>530</v>
      </c>
      <c r="E61" s="55">
        <f>33600+50428+2065+4779+75325</f>
        <v>166197</v>
      </c>
      <c r="F61" s="55"/>
    </row>
    <row r="62" spans="2:6" ht="15.75">
      <c r="B62" s="14">
        <v>43585</v>
      </c>
      <c r="C62" s="15">
        <v>1904059</v>
      </c>
      <c r="D62" s="16" t="s">
        <v>531</v>
      </c>
      <c r="E62" s="55"/>
      <c r="F62" s="55">
        <v>30100</v>
      </c>
    </row>
    <row r="63" spans="2:6" ht="15.75">
      <c r="B63" s="14">
        <v>43585</v>
      </c>
      <c r="C63" s="15">
        <v>1904060</v>
      </c>
      <c r="D63" s="16" t="s">
        <v>532</v>
      </c>
      <c r="E63" s="55"/>
      <c r="F63" s="55">
        <v>475000</v>
      </c>
    </row>
    <row r="64" spans="2:6" ht="15.75">
      <c r="B64" s="14">
        <v>43585</v>
      </c>
      <c r="C64" s="15">
        <v>1904061</v>
      </c>
      <c r="D64" s="16" t="s">
        <v>461</v>
      </c>
      <c r="E64" s="55"/>
      <c r="F64" s="55">
        <v>31000</v>
      </c>
    </row>
    <row r="65" spans="2:6" ht="15.75">
      <c r="B65" s="14">
        <v>43585</v>
      </c>
      <c r="C65" s="15">
        <v>1904062</v>
      </c>
      <c r="D65" s="16" t="s">
        <v>293</v>
      </c>
      <c r="E65" s="55"/>
      <c r="F65" s="55">
        <v>7000</v>
      </c>
    </row>
    <row r="66" spans="2:6" ht="15.75">
      <c r="B66" s="14">
        <v>43585</v>
      </c>
      <c r="C66" s="15">
        <v>1904063</v>
      </c>
      <c r="D66" s="16" t="s">
        <v>533</v>
      </c>
      <c r="E66" s="55"/>
      <c r="F66" s="55">
        <v>130000</v>
      </c>
    </row>
    <row r="67" spans="2:6" ht="15.75">
      <c r="B67" s="14">
        <v>43585</v>
      </c>
      <c r="C67" s="15">
        <v>1904064</v>
      </c>
      <c r="D67" s="16" t="s">
        <v>534</v>
      </c>
      <c r="E67" s="55"/>
      <c r="F67" s="55">
        <v>24000</v>
      </c>
    </row>
    <row r="68" spans="2:6" ht="15.75">
      <c r="B68" s="18"/>
      <c r="C68" s="19"/>
      <c r="D68" s="20"/>
      <c r="E68" s="25">
        <f>SUM(E3:E67)</f>
        <v>3492257</v>
      </c>
      <c r="F68" s="25">
        <f>SUM(F3:F67)</f>
        <v>3424907</v>
      </c>
    </row>
    <row r="69" spans="2:6">
      <c r="B69" s="5"/>
      <c r="C69" s="27"/>
    </row>
    <row r="70" spans="2:6">
      <c r="B70" s="5"/>
      <c r="C70" s="27"/>
      <c r="E70" s="21" t="s">
        <v>6</v>
      </c>
      <c r="F70" s="17">
        <f>E68-F68</f>
        <v>67350</v>
      </c>
    </row>
  </sheetData>
  <printOptions horizontalCentered="1" verticalCentered="1"/>
  <pageMargins left="0" right="0" top="0" bottom="0" header="0" footer="0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I70"/>
  <sheetViews>
    <sheetView topLeftCell="A52" workbookViewId="0">
      <selection activeCell="F70" sqref="F70"/>
    </sheetView>
  </sheetViews>
  <sheetFormatPr baseColWidth="10" defaultRowHeight="15"/>
  <cols>
    <col min="2" max="2" width="12.85546875" customWidth="1"/>
    <col min="3" max="3" width="14" customWidth="1"/>
    <col min="4" max="4" width="49.42578125" bestFit="1" customWidth="1"/>
    <col min="5" max="6" width="14.140625" bestFit="1" customWidth="1"/>
    <col min="8" max="8" width="7.42578125" bestFit="1" customWidth="1"/>
    <col min="9" max="9" width="28.5703125" style="47" bestFit="1" customWidth="1"/>
    <col min="10" max="10" width="14.140625" bestFit="1" customWidth="1"/>
  </cols>
  <sheetData>
    <row r="2" spans="2:6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6">
      <c r="B3" s="6">
        <v>43586</v>
      </c>
      <c r="C3" s="22"/>
      <c r="D3" s="8" t="s">
        <v>535</v>
      </c>
      <c r="E3" s="24">
        <f>'AVRIL 2019'!F70</f>
        <v>67350</v>
      </c>
      <c r="F3" s="24"/>
    </row>
    <row r="4" spans="2:6" ht="15.75">
      <c r="B4" s="14">
        <v>43587</v>
      </c>
      <c r="C4" s="15">
        <v>1905001</v>
      </c>
      <c r="D4" s="16" t="s">
        <v>293</v>
      </c>
      <c r="E4" s="55"/>
      <c r="F4" s="55">
        <v>20000</v>
      </c>
    </row>
    <row r="5" spans="2:6" ht="15.75">
      <c r="B5" s="14">
        <v>43587</v>
      </c>
      <c r="C5" s="15">
        <v>1905002</v>
      </c>
      <c r="D5" s="16" t="s">
        <v>368</v>
      </c>
      <c r="E5" s="55"/>
      <c r="F5" s="55">
        <v>30000</v>
      </c>
    </row>
    <row r="6" spans="2:6" ht="15.75">
      <c r="B6" s="14">
        <v>43587</v>
      </c>
      <c r="C6" s="15">
        <v>1905003</v>
      </c>
      <c r="D6" s="16" t="s">
        <v>536</v>
      </c>
      <c r="E6" s="55"/>
      <c r="F6" s="55">
        <v>155000</v>
      </c>
    </row>
    <row r="7" spans="2:6" ht="15.75">
      <c r="B7" s="14">
        <v>43587</v>
      </c>
      <c r="C7" s="15">
        <v>1905004</v>
      </c>
      <c r="D7" s="16" t="s">
        <v>537</v>
      </c>
      <c r="E7" s="55"/>
      <c r="F7" s="55">
        <v>2000</v>
      </c>
    </row>
    <row r="8" spans="2:6" ht="15.75">
      <c r="B8" s="14">
        <v>43588</v>
      </c>
      <c r="C8" s="15">
        <v>1905005</v>
      </c>
      <c r="D8" s="16" t="s">
        <v>538</v>
      </c>
      <c r="E8" s="55"/>
      <c r="F8" s="55">
        <v>105342</v>
      </c>
    </row>
    <row r="9" spans="2:6" ht="15.75">
      <c r="B9" s="14">
        <v>43588</v>
      </c>
      <c r="C9" s="15">
        <v>1905006</v>
      </c>
      <c r="D9" s="16" t="s">
        <v>61</v>
      </c>
      <c r="E9" s="55"/>
      <c r="F9" s="55">
        <v>30000</v>
      </c>
    </row>
    <row r="10" spans="2:6" ht="15.75">
      <c r="B10" s="14">
        <v>43588</v>
      </c>
      <c r="C10" s="15">
        <v>1905007</v>
      </c>
      <c r="D10" s="16" t="s">
        <v>539</v>
      </c>
      <c r="E10" s="55"/>
      <c r="F10" s="55">
        <v>22000</v>
      </c>
    </row>
    <row r="11" spans="2:6" ht="15.75">
      <c r="B11" s="14">
        <v>43588</v>
      </c>
      <c r="C11" s="15">
        <v>1905008</v>
      </c>
      <c r="D11" s="16" t="s">
        <v>540</v>
      </c>
      <c r="E11" s="55">
        <f>4295+17793+43524</f>
        <v>65612</v>
      </c>
      <c r="F11" s="55"/>
    </row>
    <row r="12" spans="2:6" ht="15.75">
      <c r="B12" s="14">
        <v>43591</v>
      </c>
      <c r="C12" s="15">
        <v>1905009</v>
      </c>
      <c r="D12" s="16" t="s">
        <v>293</v>
      </c>
      <c r="E12" s="55"/>
      <c r="F12" s="55">
        <v>14500</v>
      </c>
    </row>
    <row r="13" spans="2:6" ht="15.75">
      <c r="B13" s="14">
        <v>43591</v>
      </c>
      <c r="C13" s="15">
        <v>1905010</v>
      </c>
      <c r="D13" s="16" t="s">
        <v>541</v>
      </c>
      <c r="E13" s="55">
        <f>7770+13800+39550+10366</f>
        <v>71486</v>
      </c>
      <c r="F13" s="55"/>
    </row>
    <row r="14" spans="2:6" ht="15.75">
      <c r="B14" s="14">
        <v>43592</v>
      </c>
      <c r="C14" s="15">
        <v>1905011</v>
      </c>
      <c r="D14" s="16" t="s">
        <v>542</v>
      </c>
      <c r="E14" s="55"/>
      <c r="F14" s="55">
        <v>45000</v>
      </c>
    </row>
    <row r="15" spans="2:6" ht="15.75">
      <c r="B15" s="14">
        <v>43592</v>
      </c>
      <c r="C15" s="15">
        <v>1905012</v>
      </c>
      <c r="D15" s="16" t="s">
        <v>501</v>
      </c>
      <c r="E15" s="55"/>
      <c r="F15" s="55">
        <v>3751</v>
      </c>
    </row>
    <row r="16" spans="2:6" ht="15.75">
      <c r="B16" s="14">
        <v>43592</v>
      </c>
      <c r="C16" s="15">
        <v>1905013</v>
      </c>
      <c r="D16" s="16" t="s">
        <v>543</v>
      </c>
      <c r="E16" s="55">
        <f>12372+20160+4130+8023</f>
        <v>44685</v>
      </c>
      <c r="F16" s="55"/>
    </row>
    <row r="17" spans="2:7" ht="15.75">
      <c r="B17" s="14">
        <v>43593</v>
      </c>
      <c r="C17" s="15">
        <v>1905014</v>
      </c>
      <c r="D17" s="16" t="s">
        <v>293</v>
      </c>
      <c r="E17" s="55"/>
      <c r="F17" s="55">
        <v>12900</v>
      </c>
      <c r="G17" s="30"/>
    </row>
    <row r="18" spans="2:7" ht="15.75">
      <c r="B18" s="14">
        <v>43593</v>
      </c>
      <c r="C18" s="33">
        <v>1905015</v>
      </c>
      <c r="D18" s="16" t="s">
        <v>544</v>
      </c>
      <c r="E18" s="55"/>
      <c r="F18" s="55">
        <v>1000</v>
      </c>
    </row>
    <row r="19" spans="2:7" ht="15.75">
      <c r="B19" s="14">
        <v>43593</v>
      </c>
      <c r="C19" s="33">
        <v>1905016</v>
      </c>
      <c r="D19" s="16" t="s">
        <v>545</v>
      </c>
      <c r="E19" s="55">
        <f>18154+5286+7029+2508+29554+60044</f>
        <v>122575</v>
      </c>
      <c r="F19" s="55"/>
    </row>
    <row r="20" spans="2:7" ht="15.75">
      <c r="B20" s="14">
        <v>43594</v>
      </c>
      <c r="C20" s="33">
        <v>1905017</v>
      </c>
      <c r="D20" s="16" t="s">
        <v>544</v>
      </c>
      <c r="E20" s="55"/>
      <c r="F20" s="55">
        <v>5000</v>
      </c>
    </row>
    <row r="21" spans="2:7" ht="15.75">
      <c r="B21" s="14">
        <v>43594</v>
      </c>
      <c r="C21" s="33">
        <v>1905018</v>
      </c>
      <c r="D21" s="16" t="s">
        <v>546</v>
      </c>
      <c r="E21" s="55">
        <f>8065+9922+10685</f>
        <v>28672</v>
      </c>
      <c r="F21" s="55"/>
      <c r="G21" s="30"/>
    </row>
    <row r="22" spans="2:7" ht="15.75">
      <c r="B22" s="14">
        <v>43594</v>
      </c>
      <c r="C22" s="33">
        <v>1905019</v>
      </c>
      <c r="D22" s="16" t="s">
        <v>134</v>
      </c>
      <c r="E22" s="55"/>
      <c r="F22" s="55">
        <v>10000</v>
      </c>
    </row>
    <row r="23" spans="2:7" ht="15.75">
      <c r="B23" s="14">
        <v>43595</v>
      </c>
      <c r="C23" s="33">
        <v>1905020</v>
      </c>
      <c r="D23" s="16" t="s">
        <v>547</v>
      </c>
      <c r="E23" s="55"/>
      <c r="F23" s="55">
        <v>60000</v>
      </c>
    </row>
    <row r="24" spans="2:7" ht="15.75">
      <c r="B24" s="14">
        <v>43595</v>
      </c>
      <c r="C24" s="33">
        <v>1905021</v>
      </c>
      <c r="D24" s="16" t="s">
        <v>548</v>
      </c>
      <c r="E24" s="55"/>
      <c r="F24" s="55">
        <v>30000</v>
      </c>
    </row>
    <row r="25" spans="2:7" ht="15.75">
      <c r="B25" s="14">
        <v>43595</v>
      </c>
      <c r="C25" s="33">
        <v>1905022</v>
      </c>
      <c r="D25" s="16" t="s">
        <v>134</v>
      </c>
      <c r="E25" s="55"/>
      <c r="F25" s="55">
        <v>100100</v>
      </c>
    </row>
    <row r="26" spans="2:7" ht="15.75">
      <c r="B26" s="14">
        <v>43595</v>
      </c>
      <c r="C26" s="33">
        <v>1905023</v>
      </c>
      <c r="D26" s="16" t="s">
        <v>549</v>
      </c>
      <c r="E26" s="55"/>
      <c r="F26" s="55">
        <v>46500</v>
      </c>
    </row>
    <row r="27" spans="2:7" ht="15.75">
      <c r="B27" s="14">
        <v>43595</v>
      </c>
      <c r="C27" s="33">
        <v>1905024</v>
      </c>
      <c r="D27" s="16" t="s">
        <v>301</v>
      </c>
      <c r="E27" s="55"/>
      <c r="F27" s="55">
        <v>75000</v>
      </c>
    </row>
    <row r="28" spans="2:7" ht="15.75">
      <c r="B28" s="14">
        <v>43595</v>
      </c>
      <c r="C28" s="33">
        <v>1905025</v>
      </c>
      <c r="D28" s="16" t="s">
        <v>550</v>
      </c>
      <c r="E28" s="55">
        <f>54483+90872+10012</f>
        <v>155367</v>
      </c>
      <c r="F28" s="55"/>
    </row>
    <row r="29" spans="2:7" ht="15.75">
      <c r="B29" s="14">
        <v>43596</v>
      </c>
      <c r="C29" s="33">
        <v>1905026</v>
      </c>
      <c r="D29" s="16" t="s">
        <v>551</v>
      </c>
      <c r="E29" s="55">
        <v>32196</v>
      </c>
      <c r="F29" s="55"/>
    </row>
    <row r="30" spans="2:7" ht="15.75">
      <c r="B30" s="14">
        <v>43598</v>
      </c>
      <c r="C30" s="33">
        <v>1905027</v>
      </c>
      <c r="D30" s="16" t="s">
        <v>552</v>
      </c>
      <c r="E30" s="55"/>
      <c r="F30" s="55">
        <v>30000</v>
      </c>
      <c r="G30" s="46"/>
    </row>
    <row r="31" spans="2:7" ht="15.75">
      <c r="B31" s="14">
        <v>43598</v>
      </c>
      <c r="C31" s="33">
        <v>1905028</v>
      </c>
      <c r="D31" s="16" t="s">
        <v>553</v>
      </c>
      <c r="E31" s="55"/>
      <c r="F31" s="55">
        <v>20000</v>
      </c>
    </row>
    <row r="32" spans="2:7" ht="15.75">
      <c r="B32" s="14">
        <v>43598</v>
      </c>
      <c r="C32" s="33">
        <v>1905029</v>
      </c>
      <c r="D32" s="16" t="s">
        <v>554</v>
      </c>
      <c r="E32" s="55">
        <f>13139+84116</f>
        <v>97255</v>
      </c>
      <c r="F32" s="55"/>
    </row>
    <row r="33" spans="2:9" ht="15.75">
      <c r="B33" s="14">
        <v>43599</v>
      </c>
      <c r="C33" s="33">
        <v>1905030</v>
      </c>
      <c r="D33" s="16" t="s">
        <v>555</v>
      </c>
      <c r="E33" s="55"/>
      <c r="F33" s="55">
        <v>2270</v>
      </c>
    </row>
    <row r="34" spans="2:9" ht="15.75">
      <c r="B34" s="14">
        <v>43599</v>
      </c>
      <c r="C34" s="33">
        <v>1905031</v>
      </c>
      <c r="D34" s="16" t="s">
        <v>556</v>
      </c>
      <c r="E34" s="55">
        <f>53719+23269</f>
        <v>76988</v>
      </c>
      <c r="F34" s="55"/>
    </row>
    <row r="35" spans="2:9" ht="15.75">
      <c r="B35" s="14">
        <v>43600</v>
      </c>
      <c r="C35" s="33">
        <v>1905032</v>
      </c>
      <c r="D35" s="16" t="s">
        <v>557</v>
      </c>
      <c r="E35" s="55"/>
      <c r="F35" s="55">
        <v>25000</v>
      </c>
    </row>
    <row r="36" spans="2:9" ht="15.75">
      <c r="B36" s="14">
        <v>43600</v>
      </c>
      <c r="C36" s="33">
        <v>1905033</v>
      </c>
      <c r="D36" s="16" t="s">
        <v>134</v>
      </c>
      <c r="E36" s="55"/>
      <c r="F36" s="55">
        <v>2000</v>
      </c>
    </row>
    <row r="37" spans="2:9" ht="15.75">
      <c r="B37" s="14">
        <v>43600</v>
      </c>
      <c r="C37" s="33">
        <v>1905034</v>
      </c>
      <c r="D37" s="16" t="s">
        <v>54</v>
      </c>
      <c r="E37" s="55"/>
      <c r="F37" s="55">
        <v>2500</v>
      </c>
    </row>
    <row r="38" spans="2:9" ht="15.75">
      <c r="B38" s="14">
        <v>43600</v>
      </c>
      <c r="C38" s="33">
        <v>1905035</v>
      </c>
      <c r="D38" s="16" t="s">
        <v>558</v>
      </c>
      <c r="E38" s="55"/>
      <c r="F38" s="55">
        <v>1500</v>
      </c>
    </row>
    <row r="39" spans="2:9" ht="15.75">
      <c r="B39" s="14">
        <v>43601</v>
      </c>
      <c r="C39" s="33">
        <v>1905036</v>
      </c>
      <c r="D39" s="16" t="s">
        <v>559</v>
      </c>
      <c r="E39" s="55"/>
      <c r="F39" s="55">
        <v>125374</v>
      </c>
    </row>
    <row r="40" spans="2:9" ht="15.75">
      <c r="B40" s="14">
        <v>43601</v>
      </c>
      <c r="C40" s="33">
        <v>1905037</v>
      </c>
      <c r="D40" s="16" t="s">
        <v>560</v>
      </c>
      <c r="E40" s="55">
        <f>14645+18366+34833+12655</f>
        <v>80499</v>
      </c>
      <c r="F40" s="55"/>
    </row>
    <row r="41" spans="2:9" ht="15.75">
      <c r="B41" s="14">
        <v>43602</v>
      </c>
      <c r="C41" s="33">
        <v>1905038</v>
      </c>
      <c r="D41" s="16" t="s">
        <v>561</v>
      </c>
      <c r="E41" s="55"/>
      <c r="F41" s="55">
        <v>25000</v>
      </c>
    </row>
    <row r="42" spans="2:9" ht="15.75">
      <c r="B42" s="14">
        <v>43602</v>
      </c>
      <c r="C42" s="33">
        <v>1905039</v>
      </c>
      <c r="D42" s="16" t="s">
        <v>562</v>
      </c>
      <c r="E42" s="55">
        <f>39517+19910+13139+15145+4956+5015</f>
        <v>97682</v>
      </c>
      <c r="F42" s="55"/>
    </row>
    <row r="43" spans="2:9" ht="15.75">
      <c r="B43" s="14">
        <v>43602</v>
      </c>
      <c r="C43" s="33">
        <v>1905040</v>
      </c>
      <c r="D43" s="16" t="s">
        <v>563</v>
      </c>
      <c r="E43" s="55"/>
      <c r="F43" s="55">
        <v>35000</v>
      </c>
    </row>
    <row r="44" spans="2:9" ht="15.75">
      <c r="B44" s="14">
        <v>43603</v>
      </c>
      <c r="C44" s="33">
        <v>1905041</v>
      </c>
      <c r="D44" s="16" t="s">
        <v>521</v>
      </c>
      <c r="E44" s="55"/>
      <c r="F44" s="55">
        <v>2000</v>
      </c>
    </row>
    <row r="45" spans="2:9" ht="15.75">
      <c r="B45" s="14">
        <v>43603</v>
      </c>
      <c r="C45" s="33">
        <v>1905042</v>
      </c>
      <c r="D45" s="16" t="s">
        <v>564</v>
      </c>
      <c r="E45" s="55">
        <f>7652+14142+7623+32196+74204+15546</f>
        <v>151363</v>
      </c>
      <c r="F45" s="55"/>
    </row>
    <row r="46" spans="2:9" ht="15.75">
      <c r="B46" s="14">
        <v>43606</v>
      </c>
      <c r="C46" s="33">
        <v>1905043</v>
      </c>
      <c r="D46" s="16" t="s">
        <v>196</v>
      </c>
      <c r="E46" s="55"/>
      <c r="F46" s="55">
        <v>14000</v>
      </c>
    </row>
    <row r="47" spans="2:9" ht="15.75">
      <c r="B47" s="14">
        <v>43606</v>
      </c>
      <c r="C47" s="33">
        <v>1905044</v>
      </c>
      <c r="D47" s="16" t="s">
        <v>565</v>
      </c>
      <c r="E47" s="55">
        <f>33801+9252+35028+10824+27031</f>
        <v>115936</v>
      </c>
      <c r="F47" s="55"/>
    </row>
    <row r="48" spans="2:9" s="30" customFormat="1" ht="15.75">
      <c r="B48" s="14">
        <v>43607</v>
      </c>
      <c r="C48" s="33">
        <v>1905045</v>
      </c>
      <c r="D48" s="16" t="s">
        <v>566</v>
      </c>
      <c r="E48" s="55"/>
      <c r="F48" s="55">
        <v>30100</v>
      </c>
      <c r="I48" s="50"/>
    </row>
    <row r="49" spans="2:9" s="30" customFormat="1" ht="15.75">
      <c r="B49" s="14">
        <v>43607</v>
      </c>
      <c r="C49" s="33">
        <v>1905046</v>
      </c>
      <c r="D49" s="16" t="s">
        <v>567</v>
      </c>
      <c r="E49" s="55">
        <f>52467+4201+15396+17729</f>
        <v>89793</v>
      </c>
      <c r="F49" s="55"/>
      <c r="I49" s="50"/>
    </row>
    <row r="50" spans="2:9" s="30" customFormat="1" ht="15.75">
      <c r="B50" s="14">
        <v>43608</v>
      </c>
      <c r="C50" s="33">
        <v>1905047</v>
      </c>
      <c r="D50" s="16" t="s">
        <v>568</v>
      </c>
      <c r="E50" s="55">
        <f>24200+85060+30780+7770</f>
        <v>147810</v>
      </c>
      <c r="F50" s="55"/>
      <c r="I50" s="50"/>
    </row>
    <row r="51" spans="2:9" s="30" customFormat="1" ht="15.75">
      <c r="B51" s="14">
        <v>43609</v>
      </c>
      <c r="C51" s="33">
        <v>1905048</v>
      </c>
      <c r="D51" s="16" t="s">
        <v>569</v>
      </c>
      <c r="E51" s="55"/>
      <c r="F51" s="55">
        <v>31000</v>
      </c>
      <c r="I51" s="50"/>
    </row>
    <row r="52" spans="2:9" s="30" customFormat="1" ht="15.75">
      <c r="B52" s="14">
        <v>43609</v>
      </c>
      <c r="C52" s="33">
        <v>1905049</v>
      </c>
      <c r="D52" s="16" t="s">
        <v>570</v>
      </c>
      <c r="E52" s="55"/>
      <c r="F52" s="55">
        <v>39100</v>
      </c>
      <c r="I52" s="50"/>
    </row>
    <row r="53" spans="2:9" s="30" customFormat="1" ht="15.75">
      <c r="B53" s="14">
        <v>43609</v>
      </c>
      <c r="C53" s="33">
        <v>1905050</v>
      </c>
      <c r="D53" s="16" t="s">
        <v>571</v>
      </c>
      <c r="E53" s="55"/>
      <c r="F53" s="55">
        <v>56000</v>
      </c>
      <c r="I53" s="50"/>
    </row>
    <row r="54" spans="2:9" s="30" customFormat="1" ht="15.75">
      <c r="B54" s="14">
        <v>43609</v>
      </c>
      <c r="C54" s="33">
        <v>1905051</v>
      </c>
      <c r="D54" s="16" t="s">
        <v>572</v>
      </c>
      <c r="E54" s="55">
        <f>292410+13200</f>
        <v>305610</v>
      </c>
      <c r="F54" s="55"/>
      <c r="I54" s="50"/>
    </row>
    <row r="55" spans="2:9" s="30" customFormat="1" ht="15.75">
      <c r="B55" s="14">
        <v>43609</v>
      </c>
      <c r="C55" s="33">
        <v>1905052</v>
      </c>
      <c r="D55" s="16" t="s">
        <v>573</v>
      </c>
      <c r="E55" s="55">
        <f>28585</f>
        <v>28585</v>
      </c>
      <c r="F55" s="55"/>
      <c r="I55" s="50"/>
    </row>
    <row r="56" spans="2:9" s="30" customFormat="1" ht="15.75">
      <c r="B56" s="14">
        <v>43612</v>
      </c>
      <c r="C56" s="33">
        <v>1905053</v>
      </c>
      <c r="D56" s="16" t="s">
        <v>574</v>
      </c>
      <c r="E56" s="55">
        <f>9540+171126+37231+43105-22719</f>
        <v>238283</v>
      </c>
      <c r="F56" s="55"/>
      <c r="I56" s="50"/>
    </row>
    <row r="57" spans="2:9" s="30" customFormat="1" ht="15.75">
      <c r="B57" s="14">
        <v>43613</v>
      </c>
      <c r="C57" s="33">
        <v>1905054</v>
      </c>
      <c r="D57" s="16" t="s">
        <v>544</v>
      </c>
      <c r="E57" s="55"/>
      <c r="F57" s="55">
        <v>6000</v>
      </c>
      <c r="I57" s="50"/>
    </row>
    <row r="58" spans="2:9" s="30" customFormat="1" ht="15.75">
      <c r="B58" s="14">
        <v>43613</v>
      </c>
      <c r="C58" s="33">
        <v>1905055</v>
      </c>
      <c r="D58" s="16" t="s">
        <v>575</v>
      </c>
      <c r="E58" s="55"/>
      <c r="F58" s="55">
        <v>3000</v>
      </c>
      <c r="I58" s="50"/>
    </row>
    <row r="59" spans="2:9" s="30" customFormat="1" ht="15.75">
      <c r="B59" s="14">
        <v>43613</v>
      </c>
      <c r="C59" s="33">
        <v>1905056</v>
      </c>
      <c r="D59" s="16" t="s">
        <v>576</v>
      </c>
      <c r="E59" s="55"/>
      <c r="F59" s="55">
        <v>30000</v>
      </c>
      <c r="I59" s="50"/>
    </row>
    <row r="60" spans="2:9" s="30" customFormat="1" ht="15.75">
      <c r="B60" s="14">
        <v>43613</v>
      </c>
      <c r="C60" s="33">
        <v>1905057</v>
      </c>
      <c r="D60" s="16" t="s">
        <v>577</v>
      </c>
      <c r="E60" s="55">
        <f>12844+213608+8369+15204+10425+48489</f>
        <v>308939</v>
      </c>
      <c r="F60" s="55"/>
      <c r="I60" s="50"/>
    </row>
    <row r="61" spans="2:9" s="30" customFormat="1" ht="15.75">
      <c r="B61" s="14">
        <v>43614</v>
      </c>
      <c r="C61" s="33">
        <v>1905058</v>
      </c>
      <c r="D61" s="16" t="s">
        <v>294</v>
      </c>
      <c r="E61" s="55"/>
      <c r="F61" s="55">
        <v>2500</v>
      </c>
      <c r="I61" s="50"/>
    </row>
    <row r="62" spans="2:9" s="30" customFormat="1" ht="15.75">
      <c r="B62" s="14">
        <v>43614</v>
      </c>
      <c r="C62" s="33">
        <v>1905059</v>
      </c>
      <c r="D62" s="16" t="s">
        <v>578</v>
      </c>
      <c r="E62" s="55">
        <f>4295+10928+20641+13941</f>
        <v>49805</v>
      </c>
      <c r="F62" s="55"/>
      <c r="I62" s="50"/>
    </row>
    <row r="63" spans="2:9" s="30" customFormat="1" ht="15.75">
      <c r="B63" s="14">
        <v>43616</v>
      </c>
      <c r="C63" s="33">
        <v>1905060</v>
      </c>
      <c r="D63" s="16" t="s">
        <v>579</v>
      </c>
      <c r="E63" s="55"/>
      <c r="F63" s="55">
        <v>157104</v>
      </c>
      <c r="I63" s="50"/>
    </row>
    <row r="64" spans="2:9" s="30" customFormat="1" ht="15.75">
      <c r="B64" s="14">
        <v>43616</v>
      </c>
      <c r="C64" s="33">
        <v>1905061</v>
      </c>
      <c r="D64" s="16" t="s">
        <v>580</v>
      </c>
      <c r="E64" s="55"/>
      <c r="F64" s="55">
        <v>340925</v>
      </c>
      <c r="I64" s="50"/>
    </row>
    <row r="65" spans="2:9" s="30" customFormat="1" ht="15.75">
      <c r="B65" s="14">
        <v>43616</v>
      </c>
      <c r="C65" s="33">
        <v>1905062</v>
      </c>
      <c r="D65" s="16" t="s">
        <v>581</v>
      </c>
      <c r="E65" s="55"/>
      <c r="F65" s="55">
        <v>274700</v>
      </c>
      <c r="I65" s="50"/>
    </row>
    <row r="66" spans="2:9" s="30" customFormat="1" ht="15.75">
      <c r="B66" s="14">
        <v>43616</v>
      </c>
      <c r="C66" s="33">
        <v>1905063</v>
      </c>
      <c r="D66" s="16" t="s">
        <v>582</v>
      </c>
      <c r="E66" s="55">
        <f>5192+7121+41485+27257</f>
        <v>81055</v>
      </c>
      <c r="F66" s="55"/>
      <c r="I66" s="50"/>
    </row>
    <row r="67" spans="2:9" s="30" customFormat="1" ht="15.75">
      <c r="B67" s="14">
        <v>43616</v>
      </c>
      <c r="C67" s="33">
        <v>1905064</v>
      </c>
      <c r="D67" s="16" t="s">
        <v>583</v>
      </c>
      <c r="E67" s="55"/>
      <c r="F67" s="55">
        <v>40000</v>
      </c>
      <c r="I67" s="50"/>
    </row>
    <row r="68" spans="2:9" ht="15.75">
      <c r="B68" s="18"/>
      <c r="C68" s="19"/>
      <c r="D68" s="20"/>
      <c r="E68" s="25">
        <f>SUM(E3:E67)</f>
        <v>2457546</v>
      </c>
      <c r="F68" s="25">
        <f>SUM(F3:F67)</f>
        <v>2063166</v>
      </c>
    </row>
    <row r="69" spans="2:9">
      <c r="B69" s="5"/>
      <c r="C69" s="27"/>
    </row>
    <row r="70" spans="2:9">
      <c r="B70" s="5"/>
      <c r="C70" s="27"/>
      <c r="E70" s="21" t="s">
        <v>6</v>
      </c>
      <c r="F70" s="17">
        <f>E68-F68</f>
        <v>394380</v>
      </c>
    </row>
  </sheetData>
  <printOptions horizontalCentered="1"/>
  <pageMargins left="0" right="0" top="0" bottom="0" header="0" footer="0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J62"/>
  <sheetViews>
    <sheetView topLeftCell="A49" workbookViewId="0">
      <selection activeCell="A5" sqref="A5:XFD5"/>
    </sheetView>
  </sheetViews>
  <sheetFormatPr baseColWidth="10" defaultRowHeight="15"/>
  <cols>
    <col min="2" max="2" width="10.28515625" customWidth="1"/>
    <col min="3" max="3" width="11.85546875" customWidth="1"/>
    <col min="4" max="4" width="56.85546875" bestFit="1" customWidth="1"/>
    <col min="5" max="6" width="14.140625" bestFit="1" customWidth="1"/>
    <col min="8" max="8" width="7.42578125" bestFit="1" customWidth="1"/>
    <col min="9" max="9" width="23.5703125" bestFit="1" customWidth="1"/>
    <col min="10" max="10" width="14.140625" bestFit="1" customWidth="1"/>
  </cols>
  <sheetData>
    <row r="2" spans="2:7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7">
      <c r="B3" s="6">
        <v>43617</v>
      </c>
      <c r="C3" s="22"/>
      <c r="D3" s="8" t="s">
        <v>632</v>
      </c>
      <c r="E3" s="24">
        <f>'MAI 2019'!F70</f>
        <v>394380</v>
      </c>
      <c r="F3" s="24"/>
    </row>
    <row r="4" spans="2:7" s="30" customFormat="1" ht="15.75">
      <c r="B4" s="14">
        <v>43619</v>
      </c>
      <c r="C4" s="33">
        <v>1906001</v>
      </c>
      <c r="D4" s="16" t="s">
        <v>584</v>
      </c>
      <c r="E4" s="55"/>
      <c r="F4" s="55">
        <v>1000</v>
      </c>
    </row>
    <row r="5" spans="2:7" s="30" customFormat="1" ht="15.75">
      <c r="B5" s="14">
        <v>43619</v>
      </c>
      <c r="C5" s="33">
        <v>1906002</v>
      </c>
      <c r="D5" s="16" t="s">
        <v>585</v>
      </c>
      <c r="E5" s="55"/>
      <c r="F5" s="55">
        <v>400000</v>
      </c>
    </row>
    <row r="6" spans="2:7" s="30" customFormat="1" ht="15.75">
      <c r="B6" s="14">
        <v>43619</v>
      </c>
      <c r="C6" s="33">
        <v>1906003</v>
      </c>
      <c r="D6" s="16" t="s">
        <v>586</v>
      </c>
      <c r="E6" s="55">
        <f>21689+6614</f>
        <v>28303</v>
      </c>
      <c r="F6" s="55"/>
    </row>
    <row r="7" spans="2:7" s="30" customFormat="1" ht="15.75">
      <c r="B7" s="14">
        <v>43621</v>
      </c>
      <c r="C7" s="33">
        <v>1906004</v>
      </c>
      <c r="D7" s="16" t="s">
        <v>587</v>
      </c>
      <c r="E7" s="55"/>
      <c r="F7" s="55">
        <v>150000</v>
      </c>
    </row>
    <row r="8" spans="2:7" s="30" customFormat="1" ht="15.75">
      <c r="B8" s="14">
        <v>43621</v>
      </c>
      <c r="C8" s="33">
        <v>1906005</v>
      </c>
      <c r="D8" s="16" t="s">
        <v>588</v>
      </c>
      <c r="E8" s="55"/>
      <c r="F8" s="55">
        <v>90000</v>
      </c>
    </row>
    <row r="9" spans="2:7" s="30" customFormat="1" ht="15.75">
      <c r="B9" s="14">
        <v>43621</v>
      </c>
      <c r="C9" s="33">
        <v>1906006</v>
      </c>
      <c r="D9" s="16" t="s">
        <v>589</v>
      </c>
      <c r="E9" s="55"/>
      <c r="F9" s="55">
        <v>30000</v>
      </c>
    </row>
    <row r="10" spans="2:7" s="30" customFormat="1" ht="15.75">
      <c r="B10" s="14">
        <v>43621</v>
      </c>
      <c r="C10" s="33">
        <v>1906007</v>
      </c>
      <c r="D10" s="16" t="s">
        <v>590</v>
      </c>
      <c r="E10" s="55">
        <f>64292+7369+7310+7623</f>
        <v>86594</v>
      </c>
      <c r="F10" s="55"/>
    </row>
    <row r="11" spans="2:7" s="30" customFormat="1" ht="15.75">
      <c r="B11" s="14">
        <v>43622</v>
      </c>
      <c r="C11" s="33">
        <v>1906008</v>
      </c>
      <c r="D11" s="16" t="s">
        <v>591</v>
      </c>
      <c r="E11" s="55"/>
      <c r="F11" s="55">
        <v>10000</v>
      </c>
    </row>
    <row r="12" spans="2:7" ht="15.75">
      <c r="B12" s="14">
        <v>43622</v>
      </c>
      <c r="C12" s="33">
        <v>1906009</v>
      </c>
      <c r="D12" s="16" t="s">
        <v>134</v>
      </c>
      <c r="E12" s="55"/>
      <c r="F12" s="55">
        <v>100100</v>
      </c>
      <c r="G12" s="49"/>
    </row>
    <row r="13" spans="2:7" ht="15.75">
      <c r="B13" s="14">
        <v>43622</v>
      </c>
      <c r="C13" s="33">
        <v>1906010</v>
      </c>
      <c r="D13" s="16" t="s">
        <v>592</v>
      </c>
      <c r="E13" s="55">
        <f>8074+4248+24771+23370</f>
        <v>60463</v>
      </c>
      <c r="F13" s="55"/>
    </row>
    <row r="14" spans="2:7" ht="15.75">
      <c r="B14" s="14">
        <v>43623</v>
      </c>
      <c r="C14" s="33">
        <v>1906011</v>
      </c>
      <c r="D14" s="82" t="s">
        <v>593</v>
      </c>
      <c r="E14" s="55"/>
      <c r="F14" s="55">
        <v>95000</v>
      </c>
    </row>
    <row r="15" spans="2:7" ht="15.75">
      <c r="B15" s="14">
        <v>43623</v>
      </c>
      <c r="C15" s="33">
        <v>1906012</v>
      </c>
      <c r="D15" s="16" t="s">
        <v>594</v>
      </c>
      <c r="E15" s="55"/>
      <c r="F15" s="55">
        <v>80000</v>
      </c>
    </row>
    <row r="16" spans="2:7" ht="15.75">
      <c r="B16" s="14">
        <v>43627</v>
      </c>
      <c r="C16" s="33">
        <v>1906013</v>
      </c>
      <c r="D16" s="16" t="s">
        <v>595</v>
      </c>
      <c r="E16" s="55"/>
      <c r="F16" s="55">
        <v>33000</v>
      </c>
    </row>
    <row r="17" spans="2:10" ht="15.75">
      <c r="B17" s="14">
        <v>43627</v>
      </c>
      <c r="C17" s="33">
        <v>1906014</v>
      </c>
      <c r="D17" s="16" t="s">
        <v>531</v>
      </c>
      <c r="E17" s="55"/>
      <c r="F17" s="55">
        <v>30100</v>
      </c>
      <c r="H17" s="53"/>
      <c r="I17" s="30"/>
      <c r="J17" s="30"/>
    </row>
    <row r="18" spans="2:10" ht="15.75">
      <c r="B18" s="14">
        <v>43627</v>
      </c>
      <c r="C18" s="33">
        <v>1906015</v>
      </c>
      <c r="D18" s="16" t="s">
        <v>596</v>
      </c>
      <c r="E18" s="55"/>
      <c r="F18" s="55">
        <v>10000</v>
      </c>
      <c r="H18" s="53"/>
    </row>
    <row r="19" spans="2:10" ht="15.75">
      <c r="B19" s="14">
        <v>43627</v>
      </c>
      <c r="C19" s="33">
        <v>1906016</v>
      </c>
      <c r="D19" s="16" t="s">
        <v>134</v>
      </c>
      <c r="E19" s="55"/>
      <c r="F19" s="55">
        <v>10000</v>
      </c>
      <c r="H19" s="53"/>
    </row>
    <row r="20" spans="2:10" ht="15.75">
      <c r="B20" s="14">
        <v>43627</v>
      </c>
      <c r="C20" s="33">
        <v>1906017</v>
      </c>
      <c r="D20" s="16" t="s">
        <v>597</v>
      </c>
      <c r="E20" s="55"/>
      <c r="F20" s="55">
        <v>500</v>
      </c>
      <c r="H20" s="53"/>
    </row>
    <row r="21" spans="2:10" ht="15.75">
      <c r="B21" s="14">
        <v>43627</v>
      </c>
      <c r="C21" s="33">
        <v>1906018</v>
      </c>
      <c r="D21" s="16" t="s">
        <v>598</v>
      </c>
      <c r="E21" s="55"/>
      <c r="F21" s="55">
        <v>60000</v>
      </c>
    </row>
    <row r="22" spans="2:10" ht="15.75">
      <c r="B22" s="14">
        <v>43627</v>
      </c>
      <c r="C22" s="33">
        <v>1906019</v>
      </c>
      <c r="D22" s="16" t="s">
        <v>599</v>
      </c>
      <c r="E22" s="55">
        <f>13139+21340+6519+16128</f>
        <v>57126</v>
      </c>
      <c r="F22" s="55"/>
    </row>
    <row r="23" spans="2:10" ht="15.75">
      <c r="B23" s="14">
        <v>43628</v>
      </c>
      <c r="C23" s="33">
        <v>1906020</v>
      </c>
      <c r="D23" s="16" t="s">
        <v>600</v>
      </c>
      <c r="E23" s="55"/>
      <c r="F23" s="55">
        <v>10000</v>
      </c>
    </row>
    <row r="24" spans="2:10" ht="15.75">
      <c r="B24" s="14">
        <v>43628</v>
      </c>
      <c r="C24" s="33">
        <v>1906021</v>
      </c>
      <c r="D24" s="16" t="s">
        <v>521</v>
      </c>
      <c r="E24" s="55"/>
      <c r="F24" s="55">
        <v>2000</v>
      </c>
    </row>
    <row r="25" spans="2:10" s="30" customFormat="1" ht="15.75">
      <c r="B25" s="14">
        <v>43628</v>
      </c>
      <c r="C25" s="33">
        <v>1906022</v>
      </c>
      <c r="D25" s="16" t="s">
        <v>601</v>
      </c>
      <c r="E25" s="55"/>
      <c r="F25" s="55">
        <v>30000</v>
      </c>
    </row>
    <row r="26" spans="2:10" ht="15.75">
      <c r="B26" s="14">
        <v>43628</v>
      </c>
      <c r="C26" s="33">
        <v>1906023</v>
      </c>
      <c r="D26" s="16" t="s">
        <v>602</v>
      </c>
      <c r="E26" s="55">
        <f>165494</f>
        <v>165494</v>
      </c>
      <c r="F26" s="55"/>
    </row>
    <row r="27" spans="2:10" ht="15.75">
      <c r="B27" s="14">
        <v>43629</v>
      </c>
      <c r="C27" s="33">
        <v>1906024</v>
      </c>
      <c r="D27" s="16" t="s">
        <v>603</v>
      </c>
      <c r="E27" s="55"/>
      <c r="F27" s="55">
        <v>10000</v>
      </c>
    </row>
    <row r="28" spans="2:10" ht="15.75">
      <c r="B28" s="14">
        <v>43629</v>
      </c>
      <c r="C28" s="33">
        <v>1906025</v>
      </c>
      <c r="D28" s="16" t="s">
        <v>604</v>
      </c>
      <c r="E28" s="55"/>
      <c r="F28" s="55">
        <v>150000</v>
      </c>
    </row>
    <row r="29" spans="2:10" ht="15.75">
      <c r="B29" s="14">
        <v>43629</v>
      </c>
      <c r="C29" s="33">
        <v>1906026</v>
      </c>
      <c r="D29" s="16" t="s">
        <v>605</v>
      </c>
      <c r="E29" s="55">
        <f>6968</f>
        <v>6968</v>
      </c>
      <c r="F29" s="55"/>
    </row>
    <row r="30" spans="2:10" ht="15.75">
      <c r="B30" s="14">
        <v>43630</v>
      </c>
      <c r="C30" s="33">
        <v>1906027</v>
      </c>
      <c r="D30" s="16" t="s">
        <v>606</v>
      </c>
      <c r="E30" s="55">
        <f>2065+3098+4720+8415+21163+6885+116820+7121</f>
        <v>170287</v>
      </c>
      <c r="F30" s="55"/>
    </row>
    <row r="31" spans="2:10" ht="15.75">
      <c r="B31" s="14">
        <v>43630</v>
      </c>
      <c r="C31" s="33">
        <v>1906028</v>
      </c>
      <c r="D31" s="16" t="s">
        <v>607</v>
      </c>
      <c r="E31" s="55"/>
      <c r="F31" s="55">
        <v>32000</v>
      </c>
    </row>
    <row r="32" spans="2:10" ht="15.75">
      <c r="B32" s="14">
        <v>43633</v>
      </c>
      <c r="C32" s="33">
        <v>1906029</v>
      </c>
      <c r="D32" s="16" t="s">
        <v>294</v>
      </c>
      <c r="E32" s="55"/>
      <c r="F32" s="55">
        <v>500</v>
      </c>
    </row>
    <row r="33" spans="2:6" ht="15.75">
      <c r="B33" s="14">
        <v>43633</v>
      </c>
      <c r="C33" s="33">
        <v>1906030</v>
      </c>
      <c r="D33" s="16" t="s">
        <v>608</v>
      </c>
      <c r="E33" s="55">
        <f>58866+10508+5080+42350</f>
        <v>116804</v>
      </c>
      <c r="F33" s="55"/>
    </row>
    <row r="34" spans="2:6" ht="15.75">
      <c r="B34" s="14">
        <v>43634</v>
      </c>
      <c r="C34" s="33">
        <v>1906031</v>
      </c>
      <c r="D34" s="16" t="s">
        <v>609</v>
      </c>
      <c r="E34" s="55"/>
      <c r="F34" s="55">
        <v>55283</v>
      </c>
    </row>
    <row r="35" spans="2:6" ht="15.75">
      <c r="B35" s="14">
        <v>43634</v>
      </c>
      <c r="C35" s="33">
        <v>1906032</v>
      </c>
      <c r="D35" s="16" t="s">
        <v>30</v>
      </c>
      <c r="E35" s="55"/>
      <c r="F35" s="55">
        <v>15013</v>
      </c>
    </row>
    <row r="36" spans="2:6" ht="15.75">
      <c r="B36" s="14">
        <v>43634</v>
      </c>
      <c r="C36" s="33">
        <v>1906033</v>
      </c>
      <c r="D36" s="16" t="s">
        <v>610</v>
      </c>
      <c r="E36" s="55"/>
      <c r="F36" s="55">
        <v>8000</v>
      </c>
    </row>
    <row r="37" spans="2:6" ht="15.75">
      <c r="B37" s="14">
        <v>43634</v>
      </c>
      <c r="C37" s="33">
        <v>1906034</v>
      </c>
      <c r="D37" s="16" t="s">
        <v>611</v>
      </c>
      <c r="E37" s="55">
        <f>10130+23129+9650+14491+4773+30780+2567</f>
        <v>95520</v>
      </c>
      <c r="F37" s="55"/>
    </row>
    <row r="38" spans="2:6" ht="15.75">
      <c r="B38" s="14">
        <v>43635</v>
      </c>
      <c r="C38" s="33">
        <v>1906035</v>
      </c>
      <c r="D38" s="16" t="s">
        <v>612</v>
      </c>
      <c r="E38" s="55"/>
      <c r="F38" s="55">
        <v>270000</v>
      </c>
    </row>
    <row r="39" spans="2:6" ht="15.75">
      <c r="B39" s="14">
        <v>43635</v>
      </c>
      <c r="C39" s="33">
        <v>1906036</v>
      </c>
      <c r="D39" s="16" t="s">
        <v>196</v>
      </c>
      <c r="E39" s="55"/>
      <c r="F39" s="55">
        <v>14000</v>
      </c>
    </row>
    <row r="40" spans="2:6" ht="15.75">
      <c r="B40" s="14">
        <v>43635</v>
      </c>
      <c r="C40" s="33">
        <v>1906037</v>
      </c>
      <c r="D40" s="16" t="s">
        <v>613</v>
      </c>
      <c r="E40" s="55">
        <f>125625+32898+38804+17569+25588</f>
        <v>240484</v>
      </c>
      <c r="F40" s="55"/>
    </row>
    <row r="41" spans="2:6" ht="15.75">
      <c r="B41" s="14">
        <v>43636</v>
      </c>
      <c r="C41" s="33">
        <v>1906038</v>
      </c>
      <c r="D41" s="16" t="s">
        <v>614</v>
      </c>
      <c r="E41" s="55"/>
      <c r="F41" s="55">
        <v>12100</v>
      </c>
    </row>
    <row r="42" spans="2:6" ht="15.75">
      <c r="B42" s="14">
        <v>43637</v>
      </c>
      <c r="C42" s="33">
        <v>1906039</v>
      </c>
      <c r="D42" s="16" t="s">
        <v>615</v>
      </c>
      <c r="E42" s="55"/>
      <c r="F42" s="55">
        <v>25000</v>
      </c>
    </row>
    <row r="43" spans="2:6" ht="15.75">
      <c r="B43" s="14">
        <v>43637</v>
      </c>
      <c r="C43" s="33">
        <v>1906040</v>
      </c>
      <c r="D43" s="16" t="s">
        <v>616</v>
      </c>
      <c r="E43" s="55"/>
      <c r="F43" s="55">
        <v>15000</v>
      </c>
    </row>
    <row r="44" spans="2:6" ht="15.75">
      <c r="B44" s="14">
        <v>43637</v>
      </c>
      <c r="C44" s="33">
        <v>1906041</v>
      </c>
      <c r="D44" s="16" t="s">
        <v>617</v>
      </c>
      <c r="E44" s="55">
        <f>38716+9162</f>
        <v>47878</v>
      </c>
      <c r="F44" s="55"/>
    </row>
    <row r="45" spans="2:6" ht="15.75">
      <c r="B45" s="14">
        <v>43637</v>
      </c>
      <c r="C45" s="33">
        <v>1906042</v>
      </c>
      <c r="D45" s="16" t="s">
        <v>618</v>
      </c>
      <c r="E45" s="55"/>
      <c r="F45" s="55">
        <v>54000</v>
      </c>
    </row>
    <row r="46" spans="2:6" ht="15.75">
      <c r="B46" s="14">
        <v>43640</v>
      </c>
      <c r="C46" s="33">
        <v>1906043</v>
      </c>
      <c r="D46" s="16" t="s">
        <v>619</v>
      </c>
      <c r="E46" s="55"/>
      <c r="F46" s="55">
        <v>80000</v>
      </c>
    </row>
    <row r="47" spans="2:6" ht="15.75">
      <c r="B47" s="14">
        <v>43640</v>
      </c>
      <c r="C47" s="33">
        <v>1906044</v>
      </c>
      <c r="D47" s="16" t="s">
        <v>620</v>
      </c>
      <c r="E47" s="55">
        <f>17505+22916+17151+43123</f>
        <v>100695</v>
      </c>
      <c r="F47" s="55"/>
    </row>
    <row r="48" spans="2:6" ht="15.75">
      <c r="B48" s="14">
        <v>43641</v>
      </c>
      <c r="C48" s="33">
        <v>1906045</v>
      </c>
      <c r="D48" s="16" t="s">
        <v>621</v>
      </c>
      <c r="E48" s="55"/>
      <c r="F48" s="55">
        <v>11500</v>
      </c>
    </row>
    <row r="49" spans="2:6" ht="15.75">
      <c r="B49" s="14">
        <v>43641</v>
      </c>
      <c r="C49" s="33">
        <v>1906046</v>
      </c>
      <c r="D49" s="16" t="s">
        <v>622</v>
      </c>
      <c r="E49" s="55"/>
      <c r="F49" s="55">
        <v>3500</v>
      </c>
    </row>
    <row r="50" spans="2:6" ht="15.75">
      <c r="B50" s="14">
        <v>43641</v>
      </c>
      <c r="C50" s="33">
        <v>1906047</v>
      </c>
      <c r="D50" s="16" t="s">
        <v>623</v>
      </c>
      <c r="E50" s="55">
        <f>7974+9924+47492+32895+4720</f>
        <v>103005</v>
      </c>
      <c r="F50" s="55"/>
    </row>
    <row r="51" spans="2:6" ht="15.75">
      <c r="B51" s="14">
        <v>43642</v>
      </c>
      <c r="C51" s="33">
        <v>1906048</v>
      </c>
      <c r="D51" s="16" t="s">
        <v>624</v>
      </c>
      <c r="E51" s="55"/>
      <c r="F51" s="55">
        <v>39100</v>
      </c>
    </row>
    <row r="52" spans="2:6" ht="15.75">
      <c r="B52" s="14">
        <v>43642</v>
      </c>
      <c r="C52" s="33">
        <v>1906049</v>
      </c>
      <c r="D52" s="16" t="s">
        <v>625</v>
      </c>
      <c r="E52" s="55"/>
      <c r="F52" s="55">
        <v>46020</v>
      </c>
    </row>
    <row r="53" spans="2:6" ht="15.75">
      <c r="B53" s="14">
        <v>43642</v>
      </c>
      <c r="C53" s="33">
        <v>1906050</v>
      </c>
      <c r="D53" s="16" t="s">
        <v>626</v>
      </c>
      <c r="E53" s="55">
        <f>32668+7192+45412+7733+4809</f>
        <v>97814</v>
      </c>
      <c r="F53" s="55"/>
    </row>
    <row r="54" spans="2:6" ht="15.75">
      <c r="B54" s="14">
        <v>43643</v>
      </c>
      <c r="C54" s="33">
        <v>1906051</v>
      </c>
      <c r="D54" s="16" t="s">
        <v>627</v>
      </c>
      <c r="E54" s="55">
        <f>13941</f>
        <v>13941</v>
      </c>
      <c r="F54" s="55"/>
    </row>
    <row r="55" spans="2:6" ht="15.75">
      <c r="B55" s="14">
        <v>43644</v>
      </c>
      <c r="C55" s="33">
        <v>1906052</v>
      </c>
      <c r="D55" s="16" t="s">
        <v>628</v>
      </c>
      <c r="E55" s="55"/>
      <c r="F55" s="55">
        <v>30367</v>
      </c>
    </row>
    <row r="56" spans="2:6" ht="15.75">
      <c r="B56" s="14">
        <v>43644</v>
      </c>
      <c r="C56" s="33">
        <v>1906053</v>
      </c>
      <c r="D56" s="16" t="s">
        <v>629</v>
      </c>
      <c r="E56" s="55"/>
      <c r="F56" s="55">
        <v>155000</v>
      </c>
    </row>
    <row r="57" spans="2:6" ht="15.75">
      <c r="B57" s="14">
        <v>43644</v>
      </c>
      <c r="C57" s="33">
        <v>1906054</v>
      </c>
      <c r="D57" s="16" t="s">
        <v>630</v>
      </c>
      <c r="E57" s="55">
        <f>5003+28868+33701+15015+39317</f>
        <v>121904</v>
      </c>
      <c r="F57" s="55"/>
    </row>
    <row r="58" spans="2:6" ht="15.75">
      <c r="B58" s="14">
        <v>43644</v>
      </c>
      <c r="C58" s="83">
        <v>1906055</v>
      </c>
      <c r="D58" s="16" t="s">
        <v>631</v>
      </c>
      <c r="E58" s="55"/>
      <c r="F58" s="55">
        <v>33000</v>
      </c>
    </row>
    <row r="59" spans="2:6" ht="15.75">
      <c r="B59" s="14">
        <v>43644</v>
      </c>
      <c r="C59" s="83">
        <v>1906056</v>
      </c>
      <c r="D59" s="16" t="s">
        <v>521</v>
      </c>
      <c r="E59" s="55"/>
      <c r="F59" s="55">
        <v>5000</v>
      </c>
    </row>
    <row r="60" spans="2:6" ht="15.75">
      <c r="B60" s="18"/>
      <c r="C60" s="19"/>
      <c r="D60" s="20"/>
      <c r="E60" s="25">
        <f>SUM(E3:E59)</f>
        <v>1907660</v>
      </c>
      <c r="F60" s="25">
        <f>SUM(F3:F59)</f>
        <v>2206083</v>
      </c>
    </row>
    <row r="61" spans="2:6">
      <c r="B61" s="5"/>
      <c r="C61" s="27"/>
    </row>
    <row r="62" spans="2:6">
      <c r="B62" s="5"/>
      <c r="C62" s="27"/>
      <c r="E62" s="21" t="s">
        <v>6</v>
      </c>
      <c r="F62" s="85">
        <f>E60-F60</f>
        <v>-298423</v>
      </c>
    </row>
  </sheetData>
  <printOptions horizontalCentered="1"/>
  <pageMargins left="0" right="0" top="0" bottom="0" header="0" footer="0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I79"/>
  <sheetViews>
    <sheetView tabSelected="1" topLeftCell="A61" workbookViewId="0">
      <selection activeCell="C80" sqref="C80"/>
    </sheetView>
  </sheetViews>
  <sheetFormatPr baseColWidth="10" defaultRowHeight="15"/>
  <cols>
    <col min="2" max="2" width="8.7109375" customWidth="1"/>
    <col min="3" max="3" width="10.7109375" customWidth="1"/>
    <col min="4" max="4" width="51.5703125" bestFit="1" customWidth="1"/>
    <col min="5" max="6" width="14.140625" bestFit="1" customWidth="1"/>
    <col min="8" max="8" width="12.28515625" customWidth="1"/>
    <col min="9" max="9" width="12.7109375" bestFit="1" customWidth="1"/>
    <col min="10" max="10" width="14.140625" bestFit="1" customWidth="1"/>
  </cols>
  <sheetData>
    <row r="2" spans="2:9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  <c r="H2" s="91" t="s">
        <v>673</v>
      </c>
      <c r="I2" s="91" t="s">
        <v>674</v>
      </c>
    </row>
    <row r="3" spans="2:9">
      <c r="B3" s="6">
        <v>43647</v>
      </c>
      <c r="C3" s="22"/>
      <c r="D3" s="8" t="s">
        <v>672</v>
      </c>
      <c r="E3" s="24">
        <f>'JUIN 2019'!F62</f>
        <v>-298423</v>
      </c>
      <c r="F3" s="24"/>
      <c r="H3" s="55">
        <v>831871</v>
      </c>
      <c r="I3" s="55"/>
    </row>
    <row r="4" spans="2:9" ht="15.75">
      <c r="B4" s="14">
        <v>43647</v>
      </c>
      <c r="C4" s="33">
        <v>1907001</v>
      </c>
      <c r="D4" s="16" t="s">
        <v>368</v>
      </c>
      <c r="E4" s="55"/>
      <c r="F4" s="55">
        <v>30000</v>
      </c>
      <c r="H4" s="55"/>
      <c r="I4" s="55"/>
    </row>
    <row r="5" spans="2:9" ht="15.75">
      <c r="B5" s="14">
        <v>43647</v>
      </c>
      <c r="C5" s="33">
        <v>1907002</v>
      </c>
      <c r="D5" s="16" t="s">
        <v>633</v>
      </c>
      <c r="E5" s="55">
        <f>24493+3940</f>
        <v>28433</v>
      </c>
      <c r="F5" s="55"/>
      <c r="G5" s="49"/>
      <c r="H5" s="55"/>
      <c r="I5" s="55"/>
    </row>
    <row r="6" spans="2:9" ht="15.75">
      <c r="B6" s="14">
        <v>43648</v>
      </c>
      <c r="C6" s="33">
        <v>1907003</v>
      </c>
      <c r="D6" s="16" t="s">
        <v>134</v>
      </c>
      <c r="E6" s="55"/>
      <c r="F6" s="55">
        <v>100100</v>
      </c>
      <c r="H6" s="55"/>
      <c r="I6" s="55"/>
    </row>
    <row r="7" spans="2:9" ht="15.75">
      <c r="B7" s="14">
        <v>43648</v>
      </c>
      <c r="C7" s="33">
        <v>1907004</v>
      </c>
      <c r="D7" s="16" t="s">
        <v>634</v>
      </c>
      <c r="E7" s="55"/>
      <c r="F7" s="55">
        <v>52000</v>
      </c>
      <c r="H7" s="55"/>
      <c r="I7" s="55"/>
    </row>
    <row r="8" spans="2:9" ht="15.75">
      <c r="B8" s="14">
        <v>43648</v>
      </c>
      <c r="C8" s="33">
        <v>1907005</v>
      </c>
      <c r="D8" s="16" t="s">
        <v>635</v>
      </c>
      <c r="E8" s="55">
        <v>232193</v>
      </c>
      <c r="F8" s="55"/>
      <c r="G8" s="30"/>
      <c r="H8" s="55"/>
      <c r="I8" s="55"/>
    </row>
    <row r="9" spans="2:9" s="30" customFormat="1" ht="15.75">
      <c r="B9" s="14">
        <v>43648</v>
      </c>
      <c r="C9" s="33">
        <v>1907006</v>
      </c>
      <c r="D9" s="16" t="s">
        <v>636</v>
      </c>
      <c r="E9" s="55">
        <f>478+11522+19659+5381+18886</f>
        <v>55926</v>
      </c>
      <c r="F9" s="55"/>
      <c r="H9" s="55"/>
      <c r="I9" s="55"/>
    </row>
    <row r="10" spans="2:9" ht="15.75">
      <c r="B10" s="14">
        <v>43649</v>
      </c>
      <c r="C10" s="33">
        <v>1907007</v>
      </c>
      <c r="D10" s="16" t="s">
        <v>637</v>
      </c>
      <c r="E10" s="55">
        <v>20000</v>
      </c>
      <c r="F10" s="55"/>
      <c r="H10" s="55"/>
      <c r="I10" s="55"/>
    </row>
    <row r="11" spans="2:9" ht="15.75">
      <c r="B11" s="14">
        <v>43649</v>
      </c>
      <c r="C11" s="33">
        <v>1907008</v>
      </c>
      <c r="D11" s="16" t="s">
        <v>638</v>
      </c>
      <c r="E11" s="55"/>
      <c r="F11" s="55">
        <v>124000</v>
      </c>
      <c r="H11" s="55"/>
      <c r="I11" s="55"/>
    </row>
    <row r="12" spans="2:9" ht="15.75">
      <c r="B12" s="14">
        <v>43649</v>
      </c>
      <c r="C12" s="33">
        <v>1907009</v>
      </c>
      <c r="D12" s="16" t="s">
        <v>639</v>
      </c>
      <c r="E12" s="55">
        <f>2360+3540+38143</f>
        <v>44043</v>
      </c>
      <c r="F12" s="55"/>
      <c r="H12" s="55"/>
      <c r="I12" s="55"/>
    </row>
    <row r="13" spans="2:9" ht="15.75">
      <c r="B13" s="14">
        <v>43650</v>
      </c>
      <c r="C13" s="33">
        <v>1907010</v>
      </c>
      <c r="D13" s="16" t="s">
        <v>294</v>
      </c>
      <c r="E13" s="55"/>
      <c r="F13" s="55">
        <v>500</v>
      </c>
      <c r="H13" s="55"/>
      <c r="I13" s="55"/>
    </row>
    <row r="14" spans="2:9" ht="15.75">
      <c r="B14" s="14">
        <v>43650</v>
      </c>
      <c r="C14" s="33">
        <v>1907011</v>
      </c>
      <c r="D14" s="16" t="s">
        <v>640</v>
      </c>
      <c r="E14" s="55">
        <f>16048+16148+5192</f>
        <v>37388</v>
      </c>
      <c r="F14" s="55"/>
      <c r="H14" s="55"/>
      <c r="I14" s="55"/>
    </row>
    <row r="15" spans="2:9" ht="15.75">
      <c r="B15" s="14">
        <v>43651</v>
      </c>
      <c r="C15" s="33">
        <v>1907012</v>
      </c>
      <c r="D15" s="16" t="s">
        <v>641</v>
      </c>
      <c r="E15" s="55">
        <f>4071+12632+30889+74336+2832</f>
        <v>124760</v>
      </c>
      <c r="F15" s="55"/>
      <c r="H15" s="55"/>
      <c r="I15" s="55"/>
    </row>
    <row r="16" spans="2:9" ht="15.75">
      <c r="B16" s="14">
        <v>43652</v>
      </c>
      <c r="C16" s="33">
        <v>1907013</v>
      </c>
      <c r="D16" s="16" t="s">
        <v>642</v>
      </c>
      <c r="E16" s="55"/>
      <c r="F16" s="55">
        <v>69000</v>
      </c>
      <c r="H16" s="55"/>
      <c r="I16" s="55"/>
    </row>
    <row r="17" spans="2:9" ht="15.75">
      <c r="B17" s="14">
        <v>43654</v>
      </c>
      <c r="C17" s="33">
        <v>1907014</v>
      </c>
      <c r="D17" s="16" t="s">
        <v>614</v>
      </c>
      <c r="E17" s="55"/>
      <c r="F17" s="55">
        <v>20000</v>
      </c>
      <c r="H17" s="55"/>
      <c r="I17" s="55"/>
    </row>
    <row r="18" spans="2:9" ht="15.75">
      <c r="B18" s="14">
        <v>43654</v>
      </c>
      <c r="C18" s="33">
        <v>1907015</v>
      </c>
      <c r="D18" s="16" t="s">
        <v>643</v>
      </c>
      <c r="E18" s="55">
        <f>49498+4543+6212+3953+8991+13731</f>
        <v>86928</v>
      </c>
      <c r="F18" s="55"/>
      <c r="H18" s="55"/>
      <c r="I18" s="55"/>
    </row>
    <row r="19" spans="2:9" ht="15.75">
      <c r="B19" s="14">
        <v>43655</v>
      </c>
      <c r="C19" s="33">
        <v>1907016</v>
      </c>
      <c r="D19" s="16" t="s">
        <v>634</v>
      </c>
      <c r="E19" s="55"/>
      <c r="F19" s="55">
        <v>180000</v>
      </c>
      <c r="H19" s="55"/>
      <c r="I19" s="55"/>
    </row>
    <row r="20" spans="2:9" ht="15.75">
      <c r="B20" s="14">
        <v>43655</v>
      </c>
      <c r="C20" s="33">
        <v>1907017</v>
      </c>
      <c r="D20" s="16" t="s">
        <v>644</v>
      </c>
      <c r="E20" s="55">
        <v>4236</v>
      </c>
      <c r="F20" s="55"/>
      <c r="H20" s="55"/>
      <c r="I20" s="55"/>
    </row>
    <row r="21" spans="2:9" ht="15.75">
      <c r="B21" s="14">
        <v>43655</v>
      </c>
      <c r="C21" s="33">
        <v>1907018</v>
      </c>
      <c r="D21" s="16" t="s">
        <v>645</v>
      </c>
      <c r="E21" s="55">
        <v>2506</v>
      </c>
      <c r="F21" s="55"/>
      <c r="H21" s="55"/>
      <c r="I21" s="55"/>
    </row>
    <row r="22" spans="2:9" ht="15.75">
      <c r="B22" s="14">
        <v>43655</v>
      </c>
      <c r="C22" s="33">
        <v>1907019</v>
      </c>
      <c r="D22" s="16" t="s">
        <v>646</v>
      </c>
      <c r="E22" s="55">
        <f>8224+3257+46238+3291</f>
        <v>61010</v>
      </c>
      <c r="F22" s="55"/>
      <c r="H22" s="55"/>
      <c r="I22" s="55"/>
    </row>
    <row r="23" spans="2:9" ht="15.75">
      <c r="B23" s="14">
        <v>43656</v>
      </c>
      <c r="C23" s="33">
        <v>1907020</v>
      </c>
      <c r="D23" s="16" t="s">
        <v>647</v>
      </c>
      <c r="E23" s="55"/>
      <c r="F23" s="55">
        <v>20000</v>
      </c>
      <c r="H23" s="55"/>
      <c r="I23" s="55"/>
    </row>
    <row r="24" spans="2:9" ht="15.75">
      <c r="B24" s="14">
        <v>43656</v>
      </c>
      <c r="C24" s="33">
        <v>1907021</v>
      </c>
      <c r="D24" s="16" t="s">
        <v>648</v>
      </c>
      <c r="E24" s="55"/>
      <c r="F24" s="55">
        <v>20000</v>
      </c>
      <c r="H24" s="55"/>
      <c r="I24" s="55"/>
    </row>
    <row r="25" spans="2:9" ht="15.75">
      <c r="B25" s="14">
        <v>43656</v>
      </c>
      <c r="C25" s="33">
        <v>1907022</v>
      </c>
      <c r="D25" s="16" t="s">
        <v>649</v>
      </c>
      <c r="E25" s="55">
        <f>24674+4381+25156+22668+34084+8879</f>
        <v>119842</v>
      </c>
      <c r="F25" s="55"/>
      <c r="H25" s="55"/>
      <c r="I25" s="55"/>
    </row>
    <row r="26" spans="2:9" ht="15.75">
      <c r="B26" s="14">
        <v>43657</v>
      </c>
      <c r="C26" s="33">
        <v>1907023</v>
      </c>
      <c r="D26" s="16" t="s">
        <v>531</v>
      </c>
      <c r="E26" s="55"/>
      <c r="F26" s="55">
        <v>30100</v>
      </c>
      <c r="H26" s="55"/>
      <c r="I26" s="55"/>
    </row>
    <row r="27" spans="2:9" ht="15.75">
      <c r="B27" s="14">
        <v>43657</v>
      </c>
      <c r="C27" s="33">
        <v>1907024</v>
      </c>
      <c r="D27" s="16" t="s">
        <v>29</v>
      </c>
      <c r="E27" s="55"/>
      <c r="F27" s="55">
        <v>2751</v>
      </c>
      <c r="H27" s="55"/>
      <c r="I27" s="55"/>
    </row>
    <row r="28" spans="2:9" ht="15.75">
      <c r="B28" s="14">
        <v>43657</v>
      </c>
      <c r="C28" s="33">
        <v>1907025</v>
      </c>
      <c r="D28" s="16" t="s">
        <v>596</v>
      </c>
      <c r="E28" s="55"/>
      <c r="F28" s="55">
        <v>10000</v>
      </c>
      <c r="H28" s="55"/>
      <c r="I28" s="55"/>
    </row>
    <row r="29" spans="2:9" ht="15.75">
      <c r="B29" s="14">
        <v>43657</v>
      </c>
      <c r="C29" s="33">
        <v>1907026</v>
      </c>
      <c r="D29" s="16" t="s">
        <v>638</v>
      </c>
      <c r="E29" s="55"/>
      <c r="F29" s="55">
        <v>221200</v>
      </c>
      <c r="H29" s="55"/>
      <c r="I29" s="55"/>
    </row>
    <row r="30" spans="2:9" ht="15.75">
      <c r="B30" s="14">
        <v>43657</v>
      </c>
      <c r="C30" s="33">
        <v>1907027</v>
      </c>
      <c r="D30" s="16" t="s">
        <v>650</v>
      </c>
      <c r="E30" s="55">
        <f>4935+9855</f>
        <v>14790</v>
      </c>
      <c r="F30" s="55"/>
      <c r="H30" s="55"/>
      <c r="I30" s="55"/>
    </row>
    <row r="31" spans="2:9" ht="15.75">
      <c r="B31" s="14">
        <v>43658</v>
      </c>
      <c r="C31" s="33">
        <v>1907028</v>
      </c>
      <c r="D31" s="16" t="s">
        <v>651</v>
      </c>
      <c r="E31" s="55">
        <f>17800+5440+8407+24112</f>
        <v>55759</v>
      </c>
      <c r="F31" s="55"/>
      <c r="H31" s="55"/>
      <c r="I31" s="55"/>
    </row>
    <row r="32" spans="2:9" ht="15.75">
      <c r="B32" s="14">
        <v>43658</v>
      </c>
      <c r="C32" s="33">
        <v>1907029</v>
      </c>
      <c r="D32" s="16" t="s">
        <v>652</v>
      </c>
      <c r="E32" s="55"/>
      <c r="F32" s="55">
        <v>60000</v>
      </c>
      <c r="H32" s="55"/>
      <c r="I32" s="55"/>
    </row>
    <row r="33" spans="2:9" ht="15.75">
      <c r="B33" s="14">
        <v>43661</v>
      </c>
      <c r="C33" s="33">
        <v>1907030</v>
      </c>
      <c r="D33" s="16" t="s">
        <v>653</v>
      </c>
      <c r="E33" s="55"/>
      <c r="F33" s="55">
        <v>50000</v>
      </c>
      <c r="H33" s="55"/>
      <c r="I33" s="55"/>
    </row>
    <row r="34" spans="2:9" ht="15.75">
      <c r="B34" s="14">
        <v>43661</v>
      </c>
      <c r="C34" s="33">
        <v>1907031</v>
      </c>
      <c r="D34" s="16" t="s">
        <v>54</v>
      </c>
      <c r="E34" s="55"/>
      <c r="F34" s="55">
        <v>2500</v>
      </c>
      <c r="H34" s="55"/>
      <c r="I34" s="55"/>
    </row>
    <row r="35" spans="2:9" ht="15.75">
      <c r="B35" s="14">
        <v>43661</v>
      </c>
      <c r="C35" s="33">
        <v>1907032</v>
      </c>
      <c r="D35" s="16" t="s">
        <v>654</v>
      </c>
      <c r="E35" s="55">
        <f>3363+29996+4765+9929</f>
        <v>48053</v>
      </c>
      <c r="F35" s="55"/>
      <c r="H35" s="55"/>
      <c r="I35" s="55"/>
    </row>
    <row r="36" spans="2:9" ht="15.75">
      <c r="B36" s="14">
        <v>43662</v>
      </c>
      <c r="C36" s="33">
        <v>1907033</v>
      </c>
      <c r="D36" s="16" t="s">
        <v>196</v>
      </c>
      <c r="E36" s="55"/>
      <c r="F36" s="55">
        <v>16000</v>
      </c>
      <c r="H36" s="55"/>
      <c r="I36" s="55"/>
    </row>
    <row r="37" spans="2:9" ht="15.75">
      <c r="B37" s="14">
        <v>43662</v>
      </c>
      <c r="C37" s="33">
        <v>1907034</v>
      </c>
      <c r="D37" s="16" t="s">
        <v>655</v>
      </c>
      <c r="E37" s="55">
        <v>214000</v>
      </c>
      <c r="F37" s="55"/>
      <c r="H37" s="55"/>
      <c r="I37" s="55"/>
    </row>
    <row r="38" spans="2:9" ht="15.75">
      <c r="B38" s="14">
        <v>43662</v>
      </c>
      <c r="C38" s="33">
        <v>1907035</v>
      </c>
      <c r="D38" s="16" t="s">
        <v>656</v>
      </c>
      <c r="E38" s="55">
        <v>200000</v>
      </c>
      <c r="F38" s="55"/>
      <c r="H38" s="55"/>
      <c r="I38" s="55"/>
    </row>
    <row r="39" spans="2:9" ht="15.75">
      <c r="B39" s="14">
        <v>43662</v>
      </c>
      <c r="C39" s="33">
        <v>1907036</v>
      </c>
      <c r="D39" s="16" t="s">
        <v>657</v>
      </c>
      <c r="E39" s="55">
        <f>11428+17092</f>
        <v>28520</v>
      </c>
      <c r="F39" s="55"/>
      <c r="H39" s="55"/>
      <c r="I39" s="55"/>
    </row>
    <row r="40" spans="2:9" ht="15.75">
      <c r="B40" s="14">
        <v>43663</v>
      </c>
      <c r="C40" s="33">
        <v>1907037</v>
      </c>
      <c r="D40" s="16" t="s">
        <v>658</v>
      </c>
      <c r="E40" s="55">
        <f>8124+32196</f>
        <v>40320</v>
      </c>
      <c r="F40" s="55"/>
      <c r="H40" s="55"/>
      <c r="I40" s="55"/>
    </row>
    <row r="41" spans="2:9" ht="15.75">
      <c r="B41" s="14">
        <v>43664</v>
      </c>
      <c r="C41" s="33">
        <v>1907038</v>
      </c>
      <c r="D41" s="16" t="s">
        <v>659</v>
      </c>
      <c r="E41" s="55"/>
      <c r="F41" s="55">
        <v>39100</v>
      </c>
      <c r="H41" s="55"/>
      <c r="I41" s="55"/>
    </row>
    <row r="42" spans="2:9" ht="15.75">
      <c r="B42" s="14">
        <v>43664</v>
      </c>
      <c r="C42" s="33">
        <v>1907039</v>
      </c>
      <c r="D42" s="16" t="s">
        <v>531</v>
      </c>
      <c r="E42" s="55"/>
      <c r="F42" s="55">
        <v>30100</v>
      </c>
      <c r="H42" s="55"/>
      <c r="I42" s="55"/>
    </row>
    <row r="43" spans="2:9" ht="15.75">
      <c r="B43" s="14">
        <v>43664</v>
      </c>
      <c r="C43" s="33">
        <v>1907040</v>
      </c>
      <c r="D43" s="16" t="s">
        <v>660</v>
      </c>
      <c r="E43" s="55">
        <f>4514+4514+21288+9941</f>
        <v>40257</v>
      </c>
      <c r="F43" s="55"/>
      <c r="H43" s="55"/>
      <c r="I43" s="55"/>
    </row>
    <row r="44" spans="2:9" ht="15.75">
      <c r="B44" s="14">
        <v>43664</v>
      </c>
      <c r="C44" s="33">
        <v>1907041</v>
      </c>
      <c r="D44" s="16" t="s">
        <v>661</v>
      </c>
      <c r="E44" s="55"/>
      <c r="F44" s="55">
        <v>1500</v>
      </c>
      <c r="H44" s="55"/>
      <c r="I44" s="55"/>
    </row>
    <row r="45" spans="2:9" ht="15.75">
      <c r="B45" s="14">
        <v>43664</v>
      </c>
      <c r="C45" s="33">
        <v>1907042</v>
      </c>
      <c r="D45" s="16" t="s">
        <v>648</v>
      </c>
      <c r="E45" s="55"/>
      <c r="F45" s="55">
        <v>20000</v>
      </c>
      <c r="H45" s="55"/>
      <c r="I45" s="55"/>
    </row>
    <row r="46" spans="2:9" ht="15.75">
      <c r="B46" s="14">
        <v>43665</v>
      </c>
      <c r="C46" s="33">
        <v>1907043</v>
      </c>
      <c r="D46" s="16" t="s">
        <v>662</v>
      </c>
      <c r="E46" s="55">
        <f>25648+2537</f>
        <v>28185</v>
      </c>
      <c r="F46" s="55"/>
      <c r="H46" s="55"/>
      <c r="I46" s="55"/>
    </row>
    <row r="47" spans="2:9" ht="15.75">
      <c r="B47" s="14">
        <v>43665</v>
      </c>
      <c r="C47" s="33">
        <v>1907044</v>
      </c>
      <c r="D47" s="16" t="s">
        <v>614</v>
      </c>
      <c r="E47" s="55"/>
      <c r="F47" s="55">
        <v>20100</v>
      </c>
      <c r="H47" s="55"/>
      <c r="I47" s="55"/>
    </row>
    <row r="48" spans="2:9" ht="15.75">
      <c r="B48" s="72">
        <v>43665</v>
      </c>
      <c r="C48" s="84">
        <v>1907045</v>
      </c>
      <c r="D48" s="32" t="s">
        <v>663</v>
      </c>
      <c r="E48" s="75"/>
      <c r="F48" s="75">
        <v>350000</v>
      </c>
      <c r="H48" s="55"/>
      <c r="I48" s="55"/>
    </row>
    <row r="49" spans="2:9" ht="15.75">
      <c r="B49" s="14">
        <v>43665</v>
      </c>
      <c r="C49" s="33">
        <v>1907046</v>
      </c>
      <c r="D49" s="16" t="s">
        <v>664</v>
      </c>
      <c r="E49" s="55"/>
      <c r="F49" s="55">
        <v>20000</v>
      </c>
      <c r="H49" s="55"/>
      <c r="I49" s="55"/>
    </row>
    <row r="50" spans="2:9" ht="15.75">
      <c r="B50" s="14">
        <v>43668</v>
      </c>
      <c r="C50" s="33">
        <v>1907047</v>
      </c>
      <c r="D50" s="16" t="s">
        <v>665</v>
      </c>
      <c r="E50" s="55"/>
      <c r="F50" s="55">
        <v>102050</v>
      </c>
      <c r="H50" s="55"/>
      <c r="I50" s="55"/>
    </row>
    <row r="51" spans="2:9" ht="15.75">
      <c r="B51" s="14">
        <v>43668</v>
      </c>
      <c r="C51" s="33">
        <v>1907048</v>
      </c>
      <c r="D51" s="16" t="s">
        <v>501</v>
      </c>
      <c r="E51" s="55"/>
      <c r="F51" s="55">
        <v>3000</v>
      </c>
      <c r="H51" s="55"/>
      <c r="I51" s="55"/>
    </row>
    <row r="52" spans="2:9" ht="15.75">
      <c r="B52" s="14">
        <v>43668</v>
      </c>
      <c r="C52" s="33">
        <v>1907049</v>
      </c>
      <c r="D52" s="16" t="s">
        <v>666</v>
      </c>
      <c r="E52" s="55">
        <f>10381+5015+10883+11428</f>
        <v>37707</v>
      </c>
      <c r="F52" s="55"/>
      <c r="H52" s="55"/>
      <c r="I52" s="55"/>
    </row>
    <row r="53" spans="2:9" ht="15.75">
      <c r="B53" s="14">
        <v>43669</v>
      </c>
      <c r="C53" s="33">
        <v>1907050</v>
      </c>
      <c r="D53" s="16" t="s">
        <v>667</v>
      </c>
      <c r="E53" s="55"/>
      <c r="F53" s="55">
        <v>100000</v>
      </c>
      <c r="H53" s="55"/>
      <c r="I53" s="55"/>
    </row>
    <row r="54" spans="2:9" ht="15.75">
      <c r="B54" s="14">
        <v>43669</v>
      </c>
      <c r="C54" s="33">
        <v>1907051</v>
      </c>
      <c r="D54" s="16" t="s">
        <v>668</v>
      </c>
      <c r="E54" s="55">
        <f>9540+24821</f>
        <v>34361</v>
      </c>
      <c r="F54" s="55"/>
      <c r="H54" s="55"/>
      <c r="I54" s="55"/>
    </row>
    <row r="55" spans="2:9" ht="15.75">
      <c r="B55" s="14">
        <v>43670</v>
      </c>
      <c r="C55" s="33">
        <v>1907052</v>
      </c>
      <c r="D55" s="16" t="s">
        <v>669</v>
      </c>
      <c r="E55" s="55">
        <f>64292+3422+1298+2242+12608+9380+3762</f>
        <v>97004</v>
      </c>
      <c r="F55" s="55"/>
      <c r="H55" s="55"/>
      <c r="I55" s="55"/>
    </row>
    <row r="56" spans="2:9" ht="15.75">
      <c r="B56" s="14">
        <v>43671</v>
      </c>
      <c r="C56" s="33">
        <v>1907053</v>
      </c>
      <c r="D56" s="16" t="s">
        <v>634</v>
      </c>
      <c r="E56" s="55"/>
      <c r="F56" s="55">
        <v>100000</v>
      </c>
      <c r="H56" s="55"/>
      <c r="I56" s="55"/>
    </row>
    <row r="57" spans="2:9" ht="15.75">
      <c r="B57" s="14">
        <v>43671</v>
      </c>
      <c r="C57" s="33">
        <v>1907054</v>
      </c>
      <c r="D57" s="16" t="s">
        <v>358</v>
      </c>
      <c r="E57" s="55"/>
      <c r="F57" s="55">
        <v>3755</v>
      </c>
      <c r="H57" s="55"/>
      <c r="I57" s="55"/>
    </row>
    <row r="58" spans="2:9" ht="15.75">
      <c r="B58" s="14">
        <v>43671</v>
      </c>
      <c r="C58" s="33">
        <v>1907055</v>
      </c>
      <c r="D58" s="16" t="s">
        <v>670</v>
      </c>
      <c r="E58" s="55">
        <v>1254</v>
      </c>
      <c r="F58" s="55"/>
      <c r="H58" s="55"/>
      <c r="I58" s="55"/>
    </row>
    <row r="59" spans="2:9" ht="15.75">
      <c r="B59" s="14">
        <v>43671</v>
      </c>
      <c r="C59" s="33">
        <v>1907056</v>
      </c>
      <c r="D59" s="16" t="s">
        <v>671</v>
      </c>
      <c r="E59" s="55">
        <f>4897+3586</f>
        <v>8483</v>
      </c>
      <c r="F59" s="55"/>
      <c r="H59" s="55"/>
      <c r="I59" s="55"/>
    </row>
    <row r="60" spans="2:9" ht="15.75">
      <c r="B60" s="14">
        <v>43672</v>
      </c>
      <c r="C60" s="33"/>
      <c r="D60" s="16" t="s">
        <v>34</v>
      </c>
      <c r="E60" s="55"/>
      <c r="F60" s="55">
        <v>2500</v>
      </c>
      <c r="H60" s="55"/>
      <c r="I60" s="55"/>
    </row>
    <row r="61" spans="2:9" ht="15.75">
      <c r="B61" s="14">
        <v>43672</v>
      </c>
      <c r="C61" s="62"/>
      <c r="D61" s="16" t="s">
        <v>675</v>
      </c>
      <c r="E61" s="55"/>
      <c r="F61" s="55">
        <v>19000</v>
      </c>
      <c r="H61" s="55"/>
      <c r="I61" s="55"/>
    </row>
    <row r="62" spans="2:9" ht="15.75">
      <c r="B62" s="14">
        <v>43672</v>
      </c>
      <c r="C62" s="11"/>
      <c r="D62" s="16" t="s">
        <v>676</v>
      </c>
      <c r="E62" s="25"/>
      <c r="F62" s="25">
        <v>150000</v>
      </c>
      <c r="H62" s="55"/>
      <c r="I62" s="55"/>
    </row>
    <row r="63" spans="2:9" ht="15.75">
      <c r="B63" s="14"/>
      <c r="C63" s="11"/>
      <c r="D63" s="16"/>
      <c r="E63" s="25"/>
      <c r="F63" s="25"/>
      <c r="H63" s="55"/>
      <c r="I63" s="55"/>
    </row>
    <row r="64" spans="2:9" ht="15.75">
      <c r="B64" s="14"/>
      <c r="C64" s="11"/>
      <c r="D64" s="16"/>
      <c r="E64" s="25"/>
      <c r="F64" s="25"/>
      <c r="H64" s="55"/>
      <c r="I64" s="55"/>
    </row>
    <row r="65" spans="2:9" ht="15.75">
      <c r="B65" s="14"/>
      <c r="C65" s="11"/>
      <c r="D65" s="16"/>
      <c r="E65" s="25"/>
      <c r="F65" s="25"/>
      <c r="H65" s="55"/>
      <c r="I65" s="55"/>
    </row>
    <row r="66" spans="2:9" ht="15.75">
      <c r="B66" s="14"/>
      <c r="C66" s="11"/>
      <c r="D66" s="16"/>
      <c r="E66" s="25"/>
      <c r="F66" s="25"/>
      <c r="H66" s="55"/>
      <c r="I66" s="55"/>
    </row>
    <row r="67" spans="2:9" ht="15.75">
      <c r="B67" s="14"/>
      <c r="C67" s="11"/>
      <c r="D67" s="16"/>
      <c r="E67" s="25"/>
      <c r="F67" s="25"/>
      <c r="H67" s="55"/>
      <c r="I67" s="55"/>
    </row>
    <row r="68" spans="2:9" ht="15.75">
      <c r="B68" s="14"/>
      <c r="C68" s="11"/>
      <c r="D68" s="16"/>
      <c r="E68" s="25"/>
      <c r="F68" s="25"/>
      <c r="H68" s="55"/>
      <c r="I68" s="55"/>
    </row>
    <row r="69" spans="2:9" ht="15.75">
      <c r="B69" s="14"/>
      <c r="C69" s="11"/>
      <c r="D69" s="16"/>
      <c r="E69" s="25"/>
      <c r="F69" s="25"/>
      <c r="H69" s="55"/>
      <c r="I69" s="55"/>
    </row>
    <row r="70" spans="2:9" ht="15.75">
      <c r="B70" s="14"/>
      <c r="C70" s="11"/>
      <c r="D70" s="16"/>
      <c r="E70" s="25"/>
      <c r="F70" s="25"/>
      <c r="H70" s="55"/>
      <c r="I70" s="55"/>
    </row>
    <row r="71" spans="2:9" ht="15.75">
      <c r="B71" s="14"/>
      <c r="C71" s="11"/>
      <c r="D71" s="16"/>
      <c r="E71" s="25"/>
      <c r="F71" s="25"/>
      <c r="H71" s="55"/>
      <c r="I71" s="55"/>
    </row>
    <row r="72" spans="2:9" ht="15.75">
      <c r="B72" s="14"/>
      <c r="C72" s="11"/>
      <c r="D72" s="16"/>
      <c r="E72" s="25"/>
      <c r="F72" s="25"/>
      <c r="H72" s="55"/>
      <c r="I72" s="55"/>
    </row>
    <row r="73" spans="2:9" ht="15.75">
      <c r="B73" s="14"/>
      <c r="C73" s="11"/>
      <c r="D73" s="16"/>
      <c r="E73" s="25"/>
      <c r="F73" s="25"/>
      <c r="H73" s="55"/>
      <c r="I73" s="55"/>
    </row>
    <row r="74" spans="2:9" ht="15.75">
      <c r="B74" s="14"/>
      <c r="C74" s="11"/>
      <c r="D74" s="16"/>
      <c r="E74" s="25"/>
      <c r="F74" s="25"/>
      <c r="H74" s="55"/>
      <c r="I74" s="55"/>
    </row>
    <row r="75" spans="2:9" ht="15.75">
      <c r="B75" s="14"/>
      <c r="C75" s="15"/>
      <c r="D75" s="12"/>
      <c r="E75" s="25"/>
      <c r="F75" s="25"/>
      <c r="H75" s="55"/>
      <c r="I75" s="55"/>
    </row>
    <row r="76" spans="2:9">
      <c r="E76" s="58">
        <f>SUM(E3:E75)</f>
        <v>1367535</v>
      </c>
      <c r="F76" s="58">
        <f>SUM(F3:F75)</f>
        <v>1969256</v>
      </c>
      <c r="H76" s="55">
        <f>SUM(H3:H75)</f>
        <v>831871</v>
      </c>
      <c r="I76" s="55">
        <f>SUM(I3:I75)</f>
        <v>0</v>
      </c>
    </row>
    <row r="77" spans="2:9">
      <c r="H77" s="69"/>
      <c r="I77" s="69"/>
    </row>
    <row r="78" spans="2:9" ht="15.75" thickBot="1">
      <c r="E78" s="21" t="s">
        <v>6</v>
      </c>
      <c r="F78" s="17">
        <f>E76-F76</f>
        <v>-601721</v>
      </c>
    </row>
    <row r="79" spans="2:9" ht="15.75" thickBot="1">
      <c r="H79" s="92" t="s">
        <v>6</v>
      </c>
      <c r="I79" s="93">
        <f>F78+H76+I76</f>
        <v>230150</v>
      </c>
    </row>
  </sheetData>
  <printOptions horizontalCentered="1"/>
  <pageMargins left="0" right="0" top="0" bottom="0" header="0" footer="0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K74"/>
  <sheetViews>
    <sheetView workbookViewId="0">
      <selection activeCell="I46" sqref="I46:J46"/>
    </sheetView>
  </sheetViews>
  <sheetFormatPr baseColWidth="10" defaultRowHeight="15"/>
  <cols>
    <col min="2" max="2" width="12.42578125" customWidth="1"/>
    <col min="3" max="3" width="14.85546875" customWidth="1"/>
    <col min="4" max="4" width="56.85546875" bestFit="1" customWidth="1"/>
    <col min="5" max="6" width="14.140625" bestFit="1" customWidth="1"/>
    <col min="8" max="8" width="7.42578125" bestFit="1" customWidth="1"/>
    <col min="9" max="9" width="23.5703125" bestFit="1" customWidth="1"/>
    <col min="10" max="11" width="12.7109375" bestFit="1" customWidth="1"/>
  </cols>
  <sheetData>
    <row r="2" spans="2:6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6">
      <c r="B3" s="6">
        <v>43313</v>
      </c>
      <c r="C3" s="22"/>
      <c r="D3" s="8" t="s">
        <v>47</v>
      </c>
      <c r="E3" s="24">
        <f>'JUILLET 2019'!F78</f>
        <v>-601721</v>
      </c>
      <c r="F3" s="24"/>
    </row>
    <row r="4" spans="2:6" ht="15.75">
      <c r="B4" s="54">
        <v>43313</v>
      </c>
      <c r="C4" s="15">
        <v>1808001</v>
      </c>
      <c r="D4" s="39" t="s">
        <v>93</v>
      </c>
      <c r="E4" s="39"/>
      <c r="F4" s="55">
        <v>100000</v>
      </c>
    </row>
    <row r="5" spans="2:6" ht="15.75">
      <c r="B5" s="54">
        <v>43313</v>
      </c>
      <c r="C5" s="15">
        <v>1808002</v>
      </c>
      <c r="D5" s="39" t="s">
        <v>59</v>
      </c>
      <c r="E5" s="24">
        <f>66062+83361+40503</f>
        <v>189926</v>
      </c>
      <c r="F5" s="39"/>
    </row>
    <row r="6" spans="2:6" ht="15.75">
      <c r="B6" s="54">
        <v>43314</v>
      </c>
      <c r="C6" s="15">
        <v>1808003</v>
      </c>
      <c r="D6" s="16" t="s">
        <v>23</v>
      </c>
      <c r="E6" s="24"/>
      <c r="F6" s="55">
        <v>110000</v>
      </c>
    </row>
    <row r="7" spans="2:6" ht="15.75">
      <c r="B7" s="54">
        <v>43314</v>
      </c>
      <c r="C7" s="15">
        <v>1808004</v>
      </c>
      <c r="D7" s="39" t="s">
        <v>60</v>
      </c>
      <c r="E7" s="24"/>
      <c r="F7" s="55">
        <v>37760</v>
      </c>
    </row>
    <row r="8" spans="2:6" ht="15.75">
      <c r="B8" s="54">
        <v>43314</v>
      </c>
      <c r="C8" s="15">
        <v>1808005</v>
      </c>
      <c r="D8" s="39" t="s">
        <v>61</v>
      </c>
      <c r="E8" s="24"/>
      <c r="F8" s="55">
        <v>30000</v>
      </c>
    </row>
    <row r="9" spans="2:6" ht="15.75">
      <c r="B9" s="54">
        <v>43314</v>
      </c>
      <c r="C9" s="15">
        <v>1808006</v>
      </c>
      <c r="D9" s="39" t="s">
        <v>29</v>
      </c>
      <c r="E9" s="24"/>
      <c r="F9" s="55">
        <v>5000</v>
      </c>
    </row>
    <row r="10" spans="2:6" ht="15.75">
      <c r="B10" s="54">
        <v>43314</v>
      </c>
      <c r="C10" s="15">
        <v>1808007</v>
      </c>
      <c r="D10" s="39" t="s">
        <v>62</v>
      </c>
      <c r="E10" s="24"/>
      <c r="F10" s="55">
        <v>60000</v>
      </c>
    </row>
    <row r="11" spans="2:6" ht="15.75">
      <c r="B11" s="54">
        <v>43314</v>
      </c>
      <c r="C11" s="15">
        <v>1808008</v>
      </c>
      <c r="D11" s="39" t="s">
        <v>63</v>
      </c>
      <c r="E11" s="24">
        <f>3363+2336+1982+105828+11900</f>
        <v>125409</v>
      </c>
      <c r="F11" s="55"/>
    </row>
    <row r="12" spans="2:6" ht="15.75">
      <c r="B12" s="54">
        <v>43320</v>
      </c>
      <c r="C12" s="15">
        <v>1808009</v>
      </c>
      <c r="D12" s="39" t="s">
        <v>64</v>
      </c>
      <c r="E12" s="24"/>
      <c r="F12" s="55">
        <v>10500</v>
      </c>
    </row>
    <row r="13" spans="2:6" ht="15.75">
      <c r="B13" s="54">
        <v>43320</v>
      </c>
      <c r="C13" s="15">
        <v>1808010</v>
      </c>
      <c r="D13" s="39" t="s">
        <v>65</v>
      </c>
      <c r="E13" s="24"/>
      <c r="F13" s="55">
        <v>2500</v>
      </c>
    </row>
    <row r="14" spans="2:6" ht="15.75">
      <c r="B14" s="54">
        <v>43320</v>
      </c>
      <c r="C14" s="15">
        <v>1808011</v>
      </c>
      <c r="D14" s="16" t="s">
        <v>94</v>
      </c>
      <c r="E14" s="24"/>
      <c r="F14" s="55">
        <v>30100</v>
      </c>
    </row>
    <row r="15" spans="2:6" ht="15.75">
      <c r="B15" s="54">
        <v>43320</v>
      </c>
      <c r="C15" s="15">
        <v>1808012</v>
      </c>
      <c r="D15" s="39" t="s">
        <v>60</v>
      </c>
      <c r="E15" s="24"/>
      <c r="F15" s="55">
        <v>75520</v>
      </c>
    </row>
    <row r="16" spans="2:6" ht="15.75">
      <c r="B16" s="54">
        <v>43320</v>
      </c>
      <c r="C16" s="15">
        <v>1808013</v>
      </c>
      <c r="D16" s="39" t="s">
        <v>43</v>
      </c>
      <c r="E16" s="24"/>
      <c r="F16" s="55">
        <v>8000</v>
      </c>
    </row>
    <row r="17" spans="2:11" ht="15.75">
      <c r="B17" s="54">
        <v>43320</v>
      </c>
      <c r="C17" s="15">
        <v>1808014</v>
      </c>
      <c r="D17" s="39" t="s">
        <v>66</v>
      </c>
      <c r="E17" s="24"/>
      <c r="F17" s="55">
        <v>5000</v>
      </c>
      <c r="I17" s="86"/>
      <c r="J17" s="88"/>
      <c r="K17" s="89"/>
    </row>
    <row r="18" spans="2:11" ht="15.75">
      <c r="B18" s="54">
        <v>43321</v>
      </c>
      <c r="C18" s="15">
        <v>1808015</v>
      </c>
      <c r="D18" s="12" t="s">
        <v>66</v>
      </c>
      <c r="E18" s="24"/>
      <c r="F18" s="55">
        <v>5000</v>
      </c>
      <c r="I18" s="86"/>
      <c r="J18" s="57"/>
      <c r="K18" s="45"/>
    </row>
    <row r="19" spans="2:11" ht="15.75">
      <c r="B19" s="54">
        <v>43321</v>
      </c>
      <c r="C19" s="15">
        <v>1808016</v>
      </c>
      <c r="D19" s="39" t="s">
        <v>35</v>
      </c>
      <c r="E19" s="24"/>
      <c r="F19" s="55">
        <v>6000</v>
      </c>
      <c r="I19" s="86"/>
      <c r="J19" s="57"/>
      <c r="K19" s="45"/>
    </row>
    <row r="20" spans="2:11" s="30" customFormat="1" ht="15.75">
      <c r="B20" s="54">
        <v>43321</v>
      </c>
      <c r="C20" s="15">
        <v>1808017</v>
      </c>
      <c r="D20" s="39" t="s">
        <v>67</v>
      </c>
      <c r="E20" s="24"/>
      <c r="F20" s="55">
        <v>30000</v>
      </c>
      <c r="I20" s="87"/>
      <c r="J20" s="57"/>
      <c r="K20" s="45"/>
    </row>
    <row r="21" spans="2:11" ht="15.75">
      <c r="B21" s="54">
        <v>43321</v>
      </c>
      <c r="C21" s="15">
        <v>1808018</v>
      </c>
      <c r="D21" s="39" t="s">
        <v>68</v>
      </c>
      <c r="E21" s="24">
        <f>6330+11900+53259+28798</f>
        <v>100287</v>
      </c>
      <c r="F21" s="55"/>
      <c r="I21" s="87"/>
      <c r="J21" s="57"/>
      <c r="K21" s="45"/>
    </row>
    <row r="22" spans="2:11" ht="15.75">
      <c r="B22" s="51">
        <v>43322</v>
      </c>
      <c r="C22" s="15">
        <v>1808019</v>
      </c>
      <c r="D22" s="36" t="s">
        <v>41</v>
      </c>
      <c r="E22" s="24"/>
      <c r="F22" s="60">
        <v>15000</v>
      </c>
      <c r="I22" s="87"/>
      <c r="J22" s="57"/>
      <c r="K22" s="45"/>
    </row>
    <row r="23" spans="2:11" ht="15.75">
      <c r="B23" s="54">
        <v>43322</v>
      </c>
      <c r="C23" s="15">
        <v>1808020</v>
      </c>
      <c r="D23" s="16" t="s">
        <v>69</v>
      </c>
      <c r="E23" s="24"/>
      <c r="F23" s="61">
        <v>7000</v>
      </c>
      <c r="I23" s="87"/>
      <c r="J23" s="57"/>
      <c r="K23" s="45"/>
    </row>
    <row r="24" spans="2:11" ht="15.75">
      <c r="B24" s="54">
        <v>43325</v>
      </c>
      <c r="C24" s="15">
        <v>1808021</v>
      </c>
      <c r="D24" s="16" t="s">
        <v>70</v>
      </c>
      <c r="E24" s="24"/>
      <c r="F24" s="26">
        <v>20000</v>
      </c>
      <c r="I24" s="87"/>
      <c r="J24" s="57"/>
      <c r="K24" s="45"/>
    </row>
    <row r="25" spans="2:11" ht="15.75">
      <c r="B25" s="54">
        <v>43325</v>
      </c>
      <c r="C25" s="15">
        <v>1808022</v>
      </c>
      <c r="D25" s="12" t="s">
        <v>18</v>
      </c>
      <c r="E25" s="24"/>
      <c r="F25" s="26">
        <v>500</v>
      </c>
      <c r="I25" s="87"/>
      <c r="J25" s="57"/>
      <c r="K25" s="45"/>
    </row>
    <row r="26" spans="2:11" ht="15.75">
      <c r="B26" s="54">
        <v>43325</v>
      </c>
      <c r="C26" s="15">
        <v>1808023</v>
      </c>
      <c r="D26" s="12" t="s">
        <v>71</v>
      </c>
      <c r="E26" s="24">
        <f>8464+56067+70311+3776+45695+9829+5298</f>
        <v>199440</v>
      </c>
      <c r="F26" s="26"/>
      <c r="I26" s="87"/>
      <c r="J26" s="57"/>
      <c r="K26" s="45"/>
    </row>
    <row r="27" spans="2:11" ht="15.75">
      <c r="B27" s="54">
        <v>43326</v>
      </c>
      <c r="C27" s="15">
        <v>1808024</v>
      </c>
      <c r="D27" s="12" t="s">
        <v>44</v>
      </c>
      <c r="E27" s="24"/>
      <c r="F27" s="26">
        <v>65000</v>
      </c>
      <c r="I27" s="87"/>
      <c r="J27" s="57"/>
      <c r="K27" s="45"/>
    </row>
    <row r="28" spans="2:11" ht="15.75">
      <c r="B28" s="54">
        <v>43326</v>
      </c>
      <c r="C28" s="15">
        <v>1808025</v>
      </c>
      <c r="D28" s="16" t="s">
        <v>72</v>
      </c>
      <c r="E28" s="24">
        <f>23169+6590+63820+4714+37697+6118+5475</f>
        <v>147583</v>
      </c>
      <c r="F28" s="24"/>
      <c r="I28" s="87"/>
      <c r="J28" s="57"/>
      <c r="K28" s="45"/>
    </row>
    <row r="29" spans="2:11" ht="15.75">
      <c r="B29" s="54">
        <v>43326</v>
      </c>
      <c r="C29" s="15">
        <v>1808026</v>
      </c>
      <c r="D29" s="12" t="s">
        <v>73</v>
      </c>
      <c r="E29" s="24">
        <f>6708+12787+1888</f>
        <v>21383</v>
      </c>
      <c r="F29" s="26"/>
      <c r="I29" s="87"/>
      <c r="J29" s="57"/>
      <c r="K29" s="45"/>
    </row>
    <row r="30" spans="2:11" ht="15.75">
      <c r="B30" s="54">
        <v>43329</v>
      </c>
      <c r="C30" s="15">
        <v>1808027</v>
      </c>
      <c r="D30" s="12" t="s">
        <v>74</v>
      </c>
      <c r="E30" s="24">
        <v>6600</v>
      </c>
      <c r="F30" s="26"/>
      <c r="I30" s="87"/>
      <c r="J30" s="57"/>
      <c r="K30" s="45"/>
    </row>
    <row r="31" spans="2:11" ht="15.75">
      <c r="B31" s="54">
        <v>43329</v>
      </c>
      <c r="C31" s="15">
        <v>1808028</v>
      </c>
      <c r="D31" s="12" t="s">
        <v>75</v>
      </c>
      <c r="E31" s="24">
        <f>7943+6614+4196+36425+20868+4248+26800</f>
        <v>107094</v>
      </c>
      <c r="F31" s="26"/>
      <c r="I31" s="87"/>
      <c r="J31" s="57"/>
      <c r="K31" s="45"/>
    </row>
    <row r="32" spans="2:11" ht="15.75">
      <c r="B32" s="54">
        <v>43330</v>
      </c>
      <c r="C32" s="15">
        <v>1808029</v>
      </c>
      <c r="D32" s="16" t="s">
        <v>46</v>
      </c>
      <c r="E32" s="24"/>
      <c r="F32" s="26">
        <v>2000</v>
      </c>
      <c r="I32" s="56"/>
      <c r="J32" s="79"/>
      <c r="K32" s="45"/>
    </row>
    <row r="33" spans="2:11" ht="15.75">
      <c r="B33" s="54">
        <v>43332</v>
      </c>
      <c r="C33" s="15">
        <v>1808030</v>
      </c>
      <c r="D33" s="12" t="s">
        <v>76</v>
      </c>
      <c r="E33" s="24"/>
      <c r="F33" s="26">
        <v>16500</v>
      </c>
      <c r="I33" s="56"/>
      <c r="J33" s="57"/>
      <c r="K33" s="45"/>
    </row>
    <row r="34" spans="2:11" ht="15.75">
      <c r="B34" s="54">
        <v>43332</v>
      </c>
      <c r="C34" s="33">
        <v>1808031</v>
      </c>
      <c r="D34" s="12" t="s">
        <v>77</v>
      </c>
      <c r="E34" s="24"/>
      <c r="F34" s="26">
        <v>35000</v>
      </c>
      <c r="I34" s="56"/>
      <c r="J34" s="57"/>
      <c r="K34" s="45"/>
    </row>
    <row r="35" spans="2:11" ht="15.75">
      <c r="B35" s="54">
        <v>43332</v>
      </c>
      <c r="C35" s="35">
        <v>1808032</v>
      </c>
      <c r="D35" s="28" t="s">
        <v>41</v>
      </c>
      <c r="E35" s="24"/>
      <c r="F35" s="29">
        <v>5000</v>
      </c>
      <c r="I35" s="56"/>
      <c r="J35" s="57"/>
      <c r="K35" s="45"/>
    </row>
    <row r="36" spans="2:11" ht="15.75">
      <c r="B36" s="54">
        <v>43332</v>
      </c>
      <c r="C36" s="35">
        <v>1808033</v>
      </c>
      <c r="D36" s="12" t="s">
        <v>78</v>
      </c>
      <c r="E36" s="24">
        <f>19933+17564+4682+28420</f>
        <v>70599</v>
      </c>
      <c r="F36" s="26"/>
      <c r="I36" s="56"/>
      <c r="J36" s="57"/>
      <c r="K36" s="45"/>
    </row>
    <row r="37" spans="2:11" ht="15.75">
      <c r="B37" s="54">
        <v>43334</v>
      </c>
      <c r="C37" s="33">
        <v>1808034</v>
      </c>
      <c r="D37" s="16" t="s">
        <v>45</v>
      </c>
      <c r="E37" s="24"/>
      <c r="F37" s="26">
        <v>30100</v>
      </c>
      <c r="I37" s="56"/>
      <c r="J37" s="57"/>
      <c r="K37" s="45"/>
    </row>
    <row r="38" spans="2:11" ht="15.75">
      <c r="B38" s="54">
        <v>43334</v>
      </c>
      <c r="C38" s="35">
        <v>1808035</v>
      </c>
      <c r="D38" s="16" t="s">
        <v>79</v>
      </c>
      <c r="E38" s="24">
        <f>38757+4968+10012+3511+13222</f>
        <v>70470</v>
      </c>
      <c r="F38" s="26"/>
      <c r="I38" s="56"/>
      <c r="J38" s="88"/>
      <c r="K38" s="45"/>
    </row>
    <row r="39" spans="2:11" ht="15.75">
      <c r="B39" s="54">
        <v>43335</v>
      </c>
      <c r="C39" s="33">
        <v>1808036</v>
      </c>
      <c r="D39" s="16" t="s">
        <v>80</v>
      </c>
      <c r="E39" s="24"/>
      <c r="F39" s="26">
        <v>500000</v>
      </c>
      <c r="I39" s="89"/>
      <c r="J39" s="89"/>
      <c r="K39" s="90"/>
    </row>
    <row r="40" spans="2:11" ht="15.75">
      <c r="B40" s="54">
        <v>43336</v>
      </c>
      <c r="C40" s="35">
        <v>1808037</v>
      </c>
      <c r="D40" s="16" t="s">
        <v>95</v>
      </c>
      <c r="E40" s="24"/>
      <c r="F40" s="26">
        <v>60100</v>
      </c>
      <c r="I40" s="89"/>
      <c r="J40" s="89"/>
      <c r="K40" s="89"/>
    </row>
    <row r="41" spans="2:11" ht="15.75">
      <c r="B41" s="14">
        <v>43336</v>
      </c>
      <c r="C41" s="33">
        <v>1808038</v>
      </c>
      <c r="D41" s="16" t="s">
        <v>28</v>
      </c>
      <c r="E41" s="24"/>
      <c r="F41" s="26">
        <v>14600</v>
      </c>
      <c r="I41" s="89"/>
      <c r="J41" s="89"/>
      <c r="K41" s="90"/>
    </row>
    <row r="42" spans="2:11" ht="15" customHeight="1">
      <c r="B42" s="14">
        <v>43336</v>
      </c>
      <c r="C42" s="35">
        <v>1808039</v>
      </c>
      <c r="D42" s="16" t="s">
        <v>35</v>
      </c>
      <c r="E42" s="24"/>
      <c r="F42" s="26">
        <v>4000</v>
      </c>
    </row>
    <row r="43" spans="2:11" ht="15.75">
      <c r="B43" s="14">
        <v>43336</v>
      </c>
      <c r="C43" s="33">
        <v>1808040</v>
      </c>
      <c r="D43" s="16" t="s">
        <v>81</v>
      </c>
      <c r="E43" s="24"/>
      <c r="F43" s="26">
        <v>4000</v>
      </c>
    </row>
    <row r="44" spans="2:11" ht="15.75">
      <c r="B44" s="14">
        <v>43336</v>
      </c>
      <c r="C44" s="35">
        <v>1808041</v>
      </c>
      <c r="D44" s="16" t="s">
        <v>82</v>
      </c>
      <c r="E44" s="24">
        <f>7474+79728+87086+48846+51253+10130+5381+21504</f>
        <v>311402</v>
      </c>
      <c r="F44" s="25"/>
    </row>
    <row r="45" spans="2:11" ht="15.75">
      <c r="B45" s="14">
        <v>43336</v>
      </c>
      <c r="C45" s="33">
        <v>1808042</v>
      </c>
      <c r="D45" s="16" t="s">
        <v>83</v>
      </c>
      <c r="E45" s="24" t="s">
        <v>84</v>
      </c>
      <c r="F45" s="25">
        <v>9000</v>
      </c>
    </row>
    <row r="46" spans="2:11" ht="15.75">
      <c r="B46" s="14">
        <v>43337</v>
      </c>
      <c r="C46" s="35">
        <v>1808043</v>
      </c>
      <c r="D46" s="16" t="s">
        <v>46</v>
      </c>
      <c r="E46" s="24"/>
      <c r="F46" s="25">
        <v>2000</v>
      </c>
    </row>
    <row r="47" spans="2:11" ht="15.75">
      <c r="B47" s="14">
        <v>43339</v>
      </c>
      <c r="C47" s="33">
        <v>1808044</v>
      </c>
      <c r="D47" s="16" t="s">
        <v>85</v>
      </c>
      <c r="E47" s="24"/>
      <c r="F47" s="25">
        <v>165000</v>
      </c>
    </row>
    <row r="48" spans="2:11" ht="15.75">
      <c r="B48" s="14">
        <v>43340</v>
      </c>
      <c r="C48" s="35">
        <v>1808045</v>
      </c>
      <c r="D48" s="16" t="s">
        <v>29</v>
      </c>
      <c r="E48" s="24"/>
      <c r="F48" s="25">
        <v>3000</v>
      </c>
    </row>
    <row r="49" spans="2:6" ht="15.75">
      <c r="B49" s="14">
        <v>43341</v>
      </c>
      <c r="C49" s="15">
        <v>1808046</v>
      </c>
      <c r="D49" s="16" t="s">
        <v>86</v>
      </c>
      <c r="E49" s="24">
        <f>2950+10224+22066+12839+12466+4720+2419</f>
        <v>67684</v>
      </c>
      <c r="F49" s="25"/>
    </row>
    <row r="50" spans="2:6" ht="15.75">
      <c r="B50" s="14">
        <v>43342</v>
      </c>
      <c r="C50" s="11">
        <v>1808047</v>
      </c>
      <c r="D50" s="16" t="s">
        <v>87</v>
      </c>
      <c r="E50" s="24"/>
      <c r="F50" s="26">
        <v>20000</v>
      </c>
    </row>
    <row r="51" spans="2:6" ht="15.75">
      <c r="B51" s="14">
        <v>43342</v>
      </c>
      <c r="C51" s="15">
        <v>1808048</v>
      </c>
      <c r="D51" s="16" t="s">
        <v>88</v>
      </c>
      <c r="E51" s="24">
        <f>36208+5723+2950+3304+10130</f>
        <v>58315</v>
      </c>
      <c r="F51" s="26"/>
    </row>
    <row r="52" spans="2:6" ht="15.75">
      <c r="B52" s="14">
        <v>43343</v>
      </c>
      <c r="C52" s="11">
        <v>1808049</v>
      </c>
      <c r="D52" s="16" t="s">
        <v>61</v>
      </c>
      <c r="E52" s="24"/>
      <c r="F52" s="25">
        <v>15000</v>
      </c>
    </row>
    <row r="53" spans="2:6" ht="15.75">
      <c r="B53" s="14">
        <v>43343</v>
      </c>
      <c r="C53" s="11">
        <v>1808050</v>
      </c>
      <c r="D53" s="16" t="s">
        <v>89</v>
      </c>
      <c r="E53" s="24"/>
      <c r="F53" s="25">
        <v>181646</v>
      </c>
    </row>
    <row r="54" spans="2:6" ht="15.75">
      <c r="B54" s="14">
        <v>43343</v>
      </c>
      <c r="C54" s="11">
        <v>1808051</v>
      </c>
      <c r="D54" s="16" t="s">
        <v>90</v>
      </c>
      <c r="E54" s="24"/>
      <c r="F54" s="25">
        <v>80000</v>
      </c>
    </row>
    <row r="55" spans="2:6" ht="15.75">
      <c r="B55" s="14">
        <v>43343</v>
      </c>
      <c r="C55" s="11">
        <v>1808052</v>
      </c>
      <c r="D55" s="16" t="s">
        <v>91</v>
      </c>
      <c r="E55" s="24">
        <f>72442+4130</f>
        <v>76572</v>
      </c>
      <c r="F55" s="25"/>
    </row>
    <row r="56" spans="2:6" ht="15.75">
      <c r="B56" s="14">
        <v>43343</v>
      </c>
      <c r="C56" s="11">
        <v>1808053</v>
      </c>
      <c r="D56" s="16" t="s">
        <v>92</v>
      </c>
      <c r="E56" s="24"/>
      <c r="F56" s="25">
        <v>13000</v>
      </c>
    </row>
    <row r="57" spans="2:6" ht="15.75">
      <c r="B57" s="14">
        <v>43343</v>
      </c>
      <c r="C57" s="11">
        <v>1808054</v>
      </c>
      <c r="D57" s="12" t="s">
        <v>24</v>
      </c>
      <c r="E57" s="26"/>
      <c r="F57" s="26">
        <v>80000</v>
      </c>
    </row>
    <row r="58" spans="2:6" ht="15.75">
      <c r="B58" s="14">
        <v>43343</v>
      </c>
      <c r="C58" s="11">
        <v>1808055</v>
      </c>
      <c r="D58" s="16" t="s">
        <v>48</v>
      </c>
      <c r="E58" s="26">
        <v>100000</v>
      </c>
      <c r="F58" s="26"/>
    </row>
    <row r="59" spans="2:6" ht="15.75">
      <c r="B59" s="14">
        <v>43343</v>
      </c>
      <c r="C59" s="11">
        <v>1808056</v>
      </c>
      <c r="D59" s="12" t="s">
        <v>49</v>
      </c>
      <c r="E59" s="26"/>
      <c r="F59" s="26">
        <v>102900</v>
      </c>
    </row>
    <row r="60" spans="2:6" ht="15.75">
      <c r="B60" s="14">
        <v>43343</v>
      </c>
      <c r="C60" s="11">
        <v>1808057</v>
      </c>
      <c r="D60" s="12" t="s">
        <v>50</v>
      </c>
      <c r="E60" s="26"/>
      <c r="F60" s="26">
        <v>22599</v>
      </c>
    </row>
    <row r="61" spans="2:6" ht="15.75">
      <c r="B61" s="14">
        <v>43343</v>
      </c>
      <c r="C61" s="11">
        <v>1808058</v>
      </c>
      <c r="D61" s="12" t="s">
        <v>51</v>
      </c>
      <c r="E61" s="26"/>
      <c r="F61" s="26">
        <v>100000</v>
      </c>
    </row>
    <row r="62" spans="2:6" ht="15.75">
      <c r="B62" s="14">
        <v>43343</v>
      </c>
      <c r="C62" s="11">
        <v>1808059</v>
      </c>
      <c r="D62" s="12" t="s">
        <v>5</v>
      </c>
      <c r="E62" s="26"/>
      <c r="F62" s="26">
        <v>13200</v>
      </c>
    </row>
    <row r="63" spans="2:6" ht="15.75">
      <c r="B63" s="14">
        <v>43343</v>
      </c>
      <c r="C63" s="11">
        <v>1808060</v>
      </c>
      <c r="D63" s="12" t="s">
        <v>52</v>
      </c>
      <c r="E63" s="26"/>
      <c r="F63" s="26">
        <v>20000</v>
      </c>
    </row>
    <row r="64" spans="2:6" ht="15.75">
      <c r="B64" s="14">
        <v>43343</v>
      </c>
      <c r="C64" s="11">
        <v>1808061</v>
      </c>
      <c r="D64" s="12" t="s">
        <v>53</v>
      </c>
      <c r="E64" s="26"/>
      <c r="F64" s="26">
        <v>500</v>
      </c>
    </row>
    <row r="65" spans="2:6" ht="15.75">
      <c r="B65" s="14">
        <v>43343</v>
      </c>
      <c r="C65" s="11">
        <v>1808062</v>
      </c>
      <c r="D65" s="16" t="s">
        <v>54</v>
      </c>
      <c r="E65" s="26"/>
      <c r="F65" s="26">
        <v>2500</v>
      </c>
    </row>
    <row r="66" spans="2:6" ht="15.75">
      <c r="B66" s="14">
        <v>43343</v>
      </c>
      <c r="C66" s="11">
        <v>1808063</v>
      </c>
      <c r="D66" s="16" t="s">
        <v>5</v>
      </c>
      <c r="E66" s="26"/>
      <c r="F66" s="26">
        <v>16200</v>
      </c>
    </row>
    <row r="67" spans="2:6" ht="15.75">
      <c r="B67" s="14">
        <v>43343</v>
      </c>
      <c r="C67" s="11">
        <v>1808064</v>
      </c>
      <c r="D67" s="16" t="s">
        <v>55</v>
      </c>
      <c r="E67" s="26"/>
      <c r="F67" s="26">
        <v>40000</v>
      </c>
    </row>
    <row r="68" spans="2:6" ht="15.75">
      <c r="B68" s="14">
        <v>43343</v>
      </c>
      <c r="C68" s="11">
        <v>1808065</v>
      </c>
      <c r="D68" s="16" t="s">
        <v>56</v>
      </c>
      <c r="E68" s="26"/>
      <c r="F68" s="26">
        <v>27500</v>
      </c>
    </row>
    <row r="69" spans="2:6" ht="15.75">
      <c r="B69" s="14">
        <v>43343</v>
      </c>
      <c r="C69" s="11">
        <v>1808066</v>
      </c>
      <c r="D69" s="12" t="s">
        <v>5</v>
      </c>
      <c r="E69" s="26"/>
      <c r="F69" s="26">
        <v>10000</v>
      </c>
    </row>
    <row r="70" spans="2:6" ht="15.75">
      <c r="B70" s="14">
        <v>43343</v>
      </c>
      <c r="C70" s="11">
        <v>1808067</v>
      </c>
      <c r="D70" s="12" t="s">
        <v>57</v>
      </c>
      <c r="E70" s="26"/>
      <c r="F70" s="26">
        <v>24664</v>
      </c>
    </row>
    <row r="71" spans="2:6" ht="15.75">
      <c r="B71" s="14">
        <v>43343</v>
      </c>
      <c r="C71" s="11">
        <v>1808068</v>
      </c>
      <c r="D71" s="12" t="s">
        <v>96</v>
      </c>
      <c r="E71" s="25"/>
      <c r="F71" s="25">
        <v>4248</v>
      </c>
    </row>
    <row r="72" spans="2:6" ht="15.75">
      <c r="B72" s="18"/>
      <c r="C72" s="19"/>
      <c r="D72" s="20"/>
      <c r="E72" s="25">
        <f>SUM(E3:E71)</f>
        <v>1051043</v>
      </c>
      <c r="F72" s="25">
        <f>SUM(F3:F71)</f>
        <v>2247137</v>
      </c>
    </row>
    <row r="73" spans="2:6">
      <c r="B73" s="5"/>
      <c r="C73" s="27"/>
    </row>
    <row r="74" spans="2:6">
      <c r="B74" s="5"/>
      <c r="C74" s="27"/>
      <c r="E74" s="21" t="s">
        <v>6</v>
      </c>
      <c r="F74" s="17">
        <f>E72-F72</f>
        <v>-1196094</v>
      </c>
    </row>
  </sheetData>
  <printOptions horizontalCentered="1" verticalCentered="1"/>
  <pageMargins left="0" right="0" top="0" bottom="0" header="0" footer="0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F70"/>
  <sheetViews>
    <sheetView workbookViewId="0">
      <selection activeCell="F70" sqref="B2:F70"/>
    </sheetView>
  </sheetViews>
  <sheetFormatPr baseColWidth="10" defaultRowHeight="15"/>
  <cols>
    <col min="2" max="2" width="9.5703125" customWidth="1"/>
    <col min="3" max="3" width="10.5703125" customWidth="1"/>
    <col min="4" max="4" width="49.28515625" bestFit="1" customWidth="1"/>
    <col min="5" max="5" width="15.140625" bestFit="1" customWidth="1"/>
    <col min="6" max="6" width="14.140625" bestFit="1" customWidth="1"/>
    <col min="9" max="9" width="23.5703125" bestFit="1" customWidth="1"/>
    <col min="10" max="10" width="12.7109375" bestFit="1" customWidth="1"/>
  </cols>
  <sheetData>
    <row r="2" spans="2:6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6">
      <c r="B3" s="6">
        <v>43344</v>
      </c>
      <c r="C3" s="22"/>
      <c r="D3" s="8" t="s">
        <v>58</v>
      </c>
      <c r="E3" s="26">
        <f>'AOÛT 2018'!F74</f>
        <v>-1196094</v>
      </c>
      <c r="F3" s="24"/>
    </row>
    <row r="4" spans="2:6" ht="15.75">
      <c r="B4" s="10">
        <v>43344</v>
      </c>
      <c r="C4" s="11">
        <v>1809001</v>
      </c>
      <c r="D4" s="12" t="s">
        <v>97</v>
      </c>
      <c r="E4" s="26">
        <f>7770+32904</f>
        <v>40674</v>
      </c>
      <c r="F4" s="25"/>
    </row>
    <row r="5" spans="2:6" ht="15.75">
      <c r="B5" s="14">
        <v>43346</v>
      </c>
      <c r="C5" s="15">
        <v>1809002</v>
      </c>
      <c r="D5" s="12" t="s">
        <v>98</v>
      </c>
      <c r="E5" s="26"/>
      <c r="F5" s="26">
        <v>31000</v>
      </c>
    </row>
    <row r="6" spans="2:6" ht="15.75">
      <c r="B6" s="14">
        <v>43346</v>
      </c>
      <c r="C6" s="11">
        <v>1809003</v>
      </c>
      <c r="D6" s="12" t="s">
        <v>7</v>
      </c>
      <c r="E6" s="26"/>
      <c r="F6" s="26">
        <v>77500</v>
      </c>
    </row>
    <row r="7" spans="2:6" ht="15.75">
      <c r="B7" s="14">
        <v>43346</v>
      </c>
      <c r="C7" s="15">
        <v>1809004</v>
      </c>
      <c r="D7" s="16" t="s">
        <v>99</v>
      </c>
      <c r="E7" s="26"/>
      <c r="F7" s="26">
        <v>5000</v>
      </c>
    </row>
    <row r="8" spans="2:6" ht="15.75">
      <c r="B8" s="14">
        <v>43346</v>
      </c>
      <c r="C8" s="11">
        <v>1809005</v>
      </c>
      <c r="D8" s="12" t="s">
        <v>100</v>
      </c>
      <c r="E8" s="26">
        <f>2709+14331+11310</f>
        <v>28350</v>
      </c>
      <c r="F8" s="26"/>
    </row>
    <row r="9" spans="2:6" ht="15.75">
      <c r="B9" s="54">
        <v>43347</v>
      </c>
      <c r="C9" s="15">
        <v>1809006</v>
      </c>
      <c r="D9" s="39" t="s">
        <v>18</v>
      </c>
      <c r="E9" s="26"/>
      <c r="F9" s="26">
        <v>500</v>
      </c>
    </row>
    <row r="10" spans="2:6" ht="15.75">
      <c r="B10" s="54">
        <v>43347</v>
      </c>
      <c r="C10" s="15">
        <v>1809007</v>
      </c>
      <c r="D10" s="39" t="s">
        <v>101</v>
      </c>
      <c r="E10" s="26"/>
      <c r="F10" s="26">
        <v>50000</v>
      </c>
    </row>
    <row r="11" spans="2:6" ht="15.75">
      <c r="B11" s="54">
        <v>43347</v>
      </c>
      <c r="C11" s="15">
        <v>1809008</v>
      </c>
      <c r="D11" s="12" t="s">
        <v>102</v>
      </c>
      <c r="E11" s="26">
        <f>33999+30190</f>
        <v>64189</v>
      </c>
      <c r="F11" s="26"/>
    </row>
    <row r="12" spans="2:6" ht="15.75">
      <c r="B12" s="54">
        <v>43348</v>
      </c>
      <c r="C12" s="15">
        <v>1809009</v>
      </c>
      <c r="D12" s="16" t="s">
        <v>103</v>
      </c>
      <c r="E12" s="26">
        <f>9540+7770</f>
        <v>17310</v>
      </c>
      <c r="F12" s="26"/>
    </row>
    <row r="13" spans="2:6" ht="15.75">
      <c r="B13" s="54">
        <v>43349</v>
      </c>
      <c r="C13" s="15">
        <v>1809010</v>
      </c>
      <c r="D13" s="39" t="s">
        <v>104</v>
      </c>
      <c r="E13" s="26"/>
      <c r="F13" s="26">
        <v>47500</v>
      </c>
    </row>
    <row r="14" spans="2:6" ht="15.75">
      <c r="B14" s="54">
        <v>43349</v>
      </c>
      <c r="C14" s="15">
        <v>1809011</v>
      </c>
      <c r="D14" s="39" t="s">
        <v>105</v>
      </c>
      <c r="E14" s="26">
        <v>84286</v>
      </c>
      <c r="F14" s="26"/>
    </row>
    <row r="15" spans="2:6" ht="15.75">
      <c r="B15" s="54">
        <v>43349</v>
      </c>
      <c r="C15" s="15">
        <v>1809012</v>
      </c>
      <c r="D15" s="39" t="s">
        <v>106</v>
      </c>
      <c r="E15" s="26">
        <f>4130+18508+101102</f>
        <v>123740</v>
      </c>
      <c r="F15" s="26"/>
    </row>
    <row r="16" spans="2:6" ht="15.75">
      <c r="B16" s="54">
        <v>43350</v>
      </c>
      <c r="C16" s="15">
        <v>1809013</v>
      </c>
      <c r="D16" s="39" t="s">
        <v>29</v>
      </c>
      <c r="E16" s="26"/>
      <c r="F16" s="26">
        <v>3000</v>
      </c>
    </row>
    <row r="17" spans="2:6" ht="15.75">
      <c r="B17" s="54">
        <v>43350</v>
      </c>
      <c r="C17" s="15">
        <v>1809014</v>
      </c>
      <c r="D17" s="39" t="s">
        <v>107</v>
      </c>
      <c r="E17" s="26"/>
      <c r="F17" s="26">
        <v>160000</v>
      </c>
    </row>
    <row r="18" spans="2:6" ht="15.75">
      <c r="B18" s="54">
        <v>43350</v>
      </c>
      <c r="C18" s="15">
        <v>1809015</v>
      </c>
      <c r="D18" s="39" t="s">
        <v>108</v>
      </c>
      <c r="E18" s="26"/>
      <c r="F18" s="26">
        <v>14000</v>
      </c>
    </row>
    <row r="19" spans="2:6" ht="15.75">
      <c r="B19" s="54">
        <v>43353</v>
      </c>
      <c r="C19" s="15">
        <v>1809016</v>
      </c>
      <c r="D19" s="39" t="s">
        <v>109</v>
      </c>
      <c r="E19" s="26"/>
      <c r="F19" s="26">
        <v>100000</v>
      </c>
    </row>
    <row r="20" spans="2:6" ht="15.75">
      <c r="B20" s="54">
        <v>43353</v>
      </c>
      <c r="C20" s="15">
        <v>1809017</v>
      </c>
      <c r="D20" s="39" t="s">
        <v>110</v>
      </c>
      <c r="E20" s="26">
        <f>9835+60874</f>
        <v>70709</v>
      </c>
      <c r="F20" s="26"/>
    </row>
    <row r="21" spans="2:6" ht="15.75">
      <c r="B21" s="54">
        <v>43354</v>
      </c>
      <c r="C21" s="15">
        <v>1809018</v>
      </c>
      <c r="D21" s="16" t="s">
        <v>111</v>
      </c>
      <c r="E21" s="26"/>
      <c r="F21" s="26">
        <v>2500</v>
      </c>
    </row>
    <row r="22" spans="2:6" ht="15.75">
      <c r="B22" s="54">
        <v>43354</v>
      </c>
      <c r="C22" s="15">
        <v>1809019</v>
      </c>
      <c r="D22" s="39" t="s">
        <v>27</v>
      </c>
      <c r="E22" s="26"/>
      <c r="F22" s="26">
        <v>6000</v>
      </c>
    </row>
    <row r="23" spans="2:6" ht="15.75">
      <c r="B23" s="54">
        <v>43354</v>
      </c>
      <c r="C23" s="15">
        <v>1809020</v>
      </c>
      <c r="D23" s="39" t="s">
        <v>112</v>
      </c>
      <c r="E23" s="26">
        <f>26559+10425+68806+7322</f>
        <v>113112</v>
      </c>
      <c r="F23" s="26"/>
    </row>
    <row r="24" spans="2:6" s="30" customFormat="1" ht="15.75">
      <c r="B24" s="54">
        <v>43355</v>
      </c>
      <c r="C24" s="15">
        <v>1809021</v>
      </c>
      <c r="D24" s="39" t="s">
        <v>113</v>
      </c>
      <c r="E24" s="26">
        <f>3098+32385+21340</f>
        <v>56823</v>
      </c>
      <c r="F24" s="26"/>
    </row>
    <row r="25" spans="2:6" ht="15.75">
      <c r="B25" s="54">
        <v>43356</v>
      </c>
      <c r="C25" s="15">
        <v>1809022</v>
      </c>
      <c r="D25" s="12" t="s">
        <v>114</v>
      </c>
      <c r="E25" s="26"/>
      <c r="F25" s="26">
        <v>1000</v>
      </c>
    </row>
    <row r="26" spans="2:6" ht="15.75">
      <c r="B26" s="54">
        <v>43356</v>
      </c>
      <c r="C26" s="15">
        <v>1809023</v>
      </c>
      <c r="D26" s="39" t="s">
        <v>115</v>
      </c>
      <c r="E26" s="26">
        <f>29128+4720+3210</f>
        <v>37058</v>
      </c>
      <c r="F26" s="26"/>
    </row>
    <row r="27" spans="2:6" ht="15.75">
      <c r="B27" s="54">
        <v>43357</v>
      </c>
      <c r="C27" s="15">
        <v>1809024</v>
      </c>
      <c r="D27" s="39" t="s">
        <v>116</v>
      </c>
      <c r="E27" s="26"/>
      <c r="F27" s="26">
        <v>20000</v>
      </c>
    </row>
    <row r="28" spans="2:6" ht="15.75">
      <c r="B28" s="54">
        <v>43357</v>
      </c>
      <c r="C28" s="15">
        <v>1809025</v>
      </c>
      <c r="D28" s="39" t="s">
        <v>42</v>
      </c>
      <c r="E28" s="26"/>
      <c r="F28" s="26">
        <v>70968</v>
      </c>
    </row>
    <row r="29" spans="2:6" ht="15.75">
      <c r="B29" s="51">
        <v>43357</v>
      </c>
      <c r="C29" s="15">
        <v>1809026</v>
      </c>
      <c r="D29" s="36" t="s">
        <v>117</v>
      </c>
      <c r="E29" s="26"/>
      <c r="F29" s="26">
        <v>78100</v>
      </c>
    </row>
    <row r="30" spans="2:6" ht="15.75">
      <c r="B30" s="54">
        <v>43357</v>
      </c>
      <c r="C30" s="15">
        <v>1809027</v>
      </c>
      <c r="D30" s="16" t="s">
        <v>118</v>
      </c>
      <c r="E30" s="26"/>
      <c r="F30" s="26">
        <v>175000</v>
      </c>
    </row>
    <row r="31" spans="2:6" ht="15.75">
      <c r="B31" s="54">
        <v>43357</v>
      </c>
      <c r="C31" s="15">
        <v>1809028</v>
      </c>
      <c r="D31" s="16" t="s">
        <v>119</v>
      </c>
      <c r="E31" s="26"/>
      <c r="F31" s="26">
        <v>30000</v>
      </c>
    </row>
    <row r="32" spans="2:6" ht="15.75">
      <c r="B32" s="54">
        <v>43357</v>
      </c>
      <c r="C32" s="15">
        <v>1809029</v>
      </c>
      <c r="D32" s="12" t="s">
        <v>120</v>
      </c>
      <c r="E32" s="26">
        <f>18272+35206+127798</f>
        <v>181276</v>
      </c>
      <c r="F32" s="26"/>
    </row>
    <row r="33" spans="2:6" ht="15.75">
      <c r="B33" s="54">
        <v>43357</v>
      </c>
      <c r="C33" s="15">
        <v>1809030</v>
      </c>
      <c r="D33" s="12" t="s">
        <v>46</v>
      </c>
      <c r="E33" s="26"/>
      <c r="F33" s="26">
        <v>2000</v>
      </c>
    </row>
    <row r="34" spans="2:6" ht="15.75">
      <c r="B34" s="54">
        <v>43358</v>
      </c>
      <c r="C34" s="15">
        <v>1809031</v>
      </c>
      <c r="D34" s="12" t="s">
        <v>121</v>
      </c>
      <c r="E34" s="26"/>
      <c r="F34" s="26">
        <v>20000</v>
      </c>
    </row>
    <row r="35" spans="2:6" ht="15.75">
      <c r="B35" s="54">
        <v>43360</v>
      </c>
      <c r="C35" s="15">
        <v>1809032</v>
      </c>
      <c r="D35" s="16" t="s">
        <v>122</v>
      </c>
      <c r="E35" s="26">
        <f>8856+56771+4661</f>
        <v>70288</v>
      </c>
      <c r="F35" s="26"/>
    </row>
    <row r="36" spans="2:6" ht="15.75">
      <c r="B36" s="54">
        <v>43361</v>
      </c>
      <c r="C36" s="15">
        <v>1809033</v>
      </c>
      <c r="D36" s="12" t="s">
        <v>29</v>
      </c>
      <c r="E36" s="26"/>
      <c r="F36" s="26">
        <v>3000</v>
      </c>
    </row>
    <row r="37" spans="2:6" ht="15.75">
      <c r="B37" s="54">
        <v>43361</v>
      </c>
      <c r="C37" s="15">
        <v>1809034</v>
      </c>
      <c r="D37" s="12" t="s">
        <v>123</v>
      </c>
      <c r="E37" s="26"/>
      <c r="F37" s="26">
        <v>30100</v>
      </c>
    </row>
    <row r="38" spans="2:6" ht="15.75">
      <c r="B38" s="54">
        <v>43361</v>
      </c>
      <c r="C38" s="15">
        <v>1809035</v>
      </c>
      <c r="D38" s="12" t="s">
        <v>124</v>
      </c>
      <c r="E38" s="26"/>
      <c r="F38" s="26">
        <v>40000</v>
      </c>
    </row>
    <row r="39" spans="2:6" ht="15.75">
      <c r="B39" s="54">
        <v>43361</v>
      </c>
      <c r="C39" s="15">
        <v>1809036</v>
      </c>
      <c r="D39" s="16" t="s">
        <v>125</v>
      </c>
      <c r="E39" s="26"/>
      <c r="F39" s="24">
        <v>21500</v>
      </c>
    </row>
    <row r="40" spans="2:6" ht="15.75">
      <c r="B40" s="54">
        <v>43361</v>
      </c>
      <c r="C40" s="15">
        <v>1809037</v>
      </c>
      <c r="D40" s="12" t="s">
        <v>126</v>
      </c>
      <c r="E40" s="26">
        <f>242135+242135+242135+242135+12668</f>
        <v>981208</v>
      </c>
      <c r="F40" s="26"/>
    </row>
    <row r="41" spans="2:6" ht="15.75">
      <c r="B41" s="54">
        <v>43362</v>
      </c>
      <c r="C41" s="15">
        <v>1809038</v>
      </c>
      <c r="D41" s="12" t="s">
        <v>127</v>
      </c>
      <c r="E41" s="26"/>
      <c r="F41" s="26">
        <v>114000</v>
      </c>
    </row>
    <row r="42" spans="2:6" ht="15.75">
      <c r="B42" s="54">
        <v>43362</v>
      </c>
      <c r="C42" s="15">
        <v>1809039</v>
      </c>
      <c r="D42" s="28" t="s">
        <v>142</v>
      </c>
      <c r="E42" s="26"/>
      <c r="F42" s="26">
        <v>110200</v>
      </c>
    </row>
    <row r="43" spans="2:6" ht="15.75">
      <c r="B43" s="54">
        <v>43362</v>
      </c>
      <c r="C43" s="15">
        <v>1809040</v>
      </c>
      <c r="D43" s="16" t="s">
        <v>141</v>
      </c>
      <c r="E43" s="26">
        <f>28184+3009+3776+7475</f>
        <v>42444</v>
      </c>
      <c r="F43" s="26"/>
    </row>
    <row r="44" spans="2:6" ht="15.75">
      <c r="B44" s="54">
        <v>43363</v>
      </c>
      <c r="C44" s="15">
        <v>1809041</v>
      </c>
      <c r="D44" s="12" t="s">
        <v>140</v>
      </c>
      <c r="E44" s="26"/>
      <c r="F44" s="26">
        <v>22500</v>
      </c>
    </row>
    <row r="45" spans="2:6" ht="15.75">
      <c r="B45" s="54">
        <v>43364</v>
      </c>
      <c r="C45" s="15">
        <v>1809042</v>
      </c>
      <c r="D45" s="16" t="s">
        <v>139</v>
      </c>
      <c r="E45" s="26"/>
      <c r="F45" s="26">
        <v>47000</v>
      </c>
    </row>
    <row r="46" spans="2:6" ht="15.75">
      <c r="B46" s="54">
        <v>43364</v>
      </c>
      <c r="C46" s="15">
        <v>1809043</v>
      </c>
      <c r="D46" s="16" t="s">
        <v>138</v>
      </c>
      <c r="E46" s="26"/>
      <c r="F46" s="26">
        <v>100000</v>
      </c>
    </row>
    <row r="47" spans="2:6" ht="15.75">
      <c r="B47" s="54">
        <v>43364</v>
      </c>
      <c r="C47" s="15">
        <v>1809044</v>
      </c>
      <c r="D47" s="16" t="s">
        <v>119</v>
      </c>
      <c r="E47" s="26"/>
      <c r="F47" s="26">
        <v>15000</v>
      </c>
    </row>
    <row r="48" spans="2:6" ht="15.75">
      <c r="B48" s="54">
        <v>43364</v>
      </c>
      <c r="C48" s="15">
        <v>1809045</v>
      </c>
      <c r="D48" s="16" t="s">
        <v>137</v>
      </c>
      <c r="E48" s="26">
        <f>21340+29866+5428+40069</f>
        <v>96703</v>
      </c>
      <c r="F48" s="26"/>
    </row>
    <row r="49" spans="2:6" ht="15.75">
      <c r="B49" s="14">
        <v>43365</v>
      </c>
      <c r="C49" s="15">
        <v>1809046</v>
      </c>
      <c r="D49" s="16" t="s">
        <v>136</v>
      </c>
      <c r="E49" s="26"/>
      <c r="F49" s="26">
        <v>17500</v>
      </c>
    </row>
    <row r="50" spans="2:6" ht="15.75">
      <c r="B50" s="14">
        <v>43367</v>
      </c>
      <c r="C50" s="15">
        <v>1809047</v>
      </c>
      <c r="D50" s="16" t="s">
        <v>135</v>
      </c>
      <c r="E50" s="26"/>
      <c r="F50" s="26">
        <v>100100</v>
      </c>
    </row>
    <row r="51" spans="2:6" ht="15.75">
      <c r="B51" s="14">
        <v>43367</v>
      </c>
      <c r="C51" s="15">
        <v>1809048</v>
      </c>
      <c r="D51" s="16" t="s">
        <v>134</v>
      </c>
      <c r="E51" s="26"/>
      <c r="F51" s="26">
        <v>10000</v>
      </c>
    </row>
    <row r="52" spans="2:6" ht="15.75">
      <c r="B52" s="14">
        <v>43367</v>
      </c>
      <c r="C52" s="15">
        <v>1809049</v>
      </c>
      <c r="D52" s="16" t="s">
        <v>133</v>
      </c>
      <c r="E52" s="26"/>
      <c r="F52" s="26">
        <v>10000</v>
      </c>
    </row>
    <row r="53" spans="2:6" ht="15.75">
      <c r="B53" s="14">
        <v>43367</v>
      </c>
      <c r="C53" s="15">
        <v>1809050</v>
      </c>
      <c r="D53" s="16" t="s">
        <v>132</v>
      </c>
      <c r="E53" s="26"/>
      <c r="F53" s="26">
        <v>50000</v>
      </c>
    </row>
    <row r="54" spans="2:6" ht="15.75">
      <c r="B54" s="14">
        <v>43368</v>
      </c>
      <c r="C54" s="15">
        <v>1809051</v>
      </c>
      <c r="D54" s="16" t="s">
        <v>31</v>
      </c>
      <c r="E54" s="26"/>
      <c r="F54" s="26">
        <v>25000</v>
      </c>
    </row>
    <row r="55" spans="2:6" ht="15.75">
      <c r="B55" s="14">
        <v>43368</v>
      </c>
      <c r="C55" s="15">
        <v>1809052</v>
      </c>
      <c r="D55" s="16" t="s">
        <v>35</v>
      </c>
      <c r="E55" s="26"/>
      <c r="F55" s="26">
        <v>6000</v>
      </c>
    </row>
    <row r="56" spans="2:6" ht="15.75">
      <c r="B56" s="14">
        <v>43368</v>
      </c>
      <c r="C56" s="15">
        <v>1809053</v>
      </c>
      <c r="D56" s="16" t="s">
        <v>131</v>
      </c>
      <c r="E56" s="26">
        <f>8200+4915+24172+4632+4779+53234+7121+6871</f>
        <v>113924</v>
      </c>
      <c r="F56" s="26"/>
    </row>
    <row r="57" spans="2:6" ht="15.75">
      <c r="B57" s="14">
        <v>43369</v>
      </c>
      <c r="C57" s="15">
        <v>1809054</v>
      </c>
      <c r="D57" s="16" t="s">
        <v>130</v>
      </c>
      <c r="E57" s="26"/>
      <c r="F57" s="26">
        <v>200000</v>
      </c>
    </row>
    <row r="58" spans="2:6" ht="15.75">
      <c r="B58" s="14">
        <v>43369</v>
      </c>
      <c r="C58" s="15">
        <v>1809055</v>
      </c>
      <c r="D58" s="16" t="s">
        <v>129</v>
      </c>
      <c r="E58" s="26"/>
      <c r="F58" s="26">
        <v>10000</v>
      </c>
    </row>
    <row r="59" spans="2:6" ht="15.75">
      <c r="B59" s="14">
        <v>43369</v>
      </c>
      <c r="C59" s="15">
        <v>1809056</v>
      </c>
      <c r="D59" s="16" t="s">
        <v>128</v>
      </c>
      <c r="E59" s="26"/>
      <c r="F59" s="26">
        <v>4900</v>
      </c>
    </row>
    <row r="60" spans="2:6" ht="15.75">
      <c r="B60" s="14">
        <v>43370</v>
      </c>
      <c r="C60" s="15">
        <v>1809057</v>
      </c>
      <c r="D60" s="16" t="s">
        <v>144</v>
      </c>
      <c r="E60" s="26">
        <f>422114+21208+11806</f>
        <v>455128</v>
      </c>
      <c r="F60" s="26"/>
    </row>
    <row r="61" spans="2:6" ht="15.75">
      <c r="B61" s="14">
        <v>43371</v>
      </c>
      <c r="C61" s="15">
        <v>1809058</v>
      </c>
      <c r="D61" s="16" t="s">
        <v>143</v>
      </c>
      <c r="E61" s="26"/>
      <c r="F61" s="26">
        <v>99750</v>
      </c>
    </row>
    <row r="62" spans="2:6" ht="15.75">
      <c r="B62" s="14">
        <v>43372</v>
      </c>
      <c r="C62" s="15">
        <v>1809059</v>
      </c>
      <c r="D62" s="16" t="s">
        <v>147</v>
      </c>
      <c r="E62" s="26"/>
      <c r="F62" s="26">
        <v>1000</v>
      </c>
    </row>
    <row r="63" spans="2:6" ht="15.75">
      <c r="B63" s="14">
        <v>43372</v>
      </c>
      <c r="C63" s="15">
        <v>1809060</v>
      </c>
      <c r="D63" s="16" t="s">
        <v>146</v>
      </c>
      <c r="E63" s="26"/>
      <c r="F63" s="26">
        <v>14000</v>
      </c>
    </row>
    <row r="64" spans="2:6" ht="15.75">
      <c r="B64" s="14">
        <v>43372</v>
      </c>
      <c r="C64" s="15">
        <v>1809061</v>
      </c>
      <c r="D64" s="16" t="s">
        <v>145</v>
      </c>
      <c r="E64" s="26">
        <f>27181+105534</f>
        <v>132715</v>
      </c>
      <c r="F64" s="26"/>
    </row>
    <row r="65" spans="2:6" ht="15.75">
      <c r="B65" s="6">
        <v>43373</v>
      </c>
      <c r="C65" s="35">
        <v>1809062</v>
      </c>
      <c r="D65" s="34" t="s">
        <v>148</v>
      </c>
      <c r="E65" s="24">
        <v>500000</v>
      </c>
      <c r="F65" s="24"/>
    </row>
    <row r="66" spans="2:6" ht="15.75">
      <c r="B66" s="6">
        <v>43373</v>
      </c>
      <c r="C66" s="33">
        <v>1809063</v>
      </c>
      <c r="D66" s="34" t="s">
        <v>151</v>
      </c>
      <c r="E66" s="24"/>
      <c r="F66" s="24">
        <v>800000</v>
      </c>
    </row>
    <row r="67" spans="2:6" ht="15.75">
      <c r="B67" s="6">
        <v>43373</v>
      </c>
      <c r="C67" s="33">
        <v>1809064</v>
      </c>
      <c r="D67" s="34" t="s">
        <v>257</v>
      </c>
      <c r="E67" s="31"/>
      <c r="F67" s="31">
        <v>575000</v>
      </c>
    </row>
    <row r="68" spans="2:6" ht="15.75">
      <c r="B68" s="18"/>
      <c r="C68" s="19"/>
      <c r="D68" s="20"/>
      <c r="E68" s="25">
        <f>SUM(E3:E67)</f>
        <v>2013843</v>
      </c>
      <c r="F68" s="25">
        <f>SUM(F3:F67)</f>
        <v>3320618</v>
      </c>
    </row>
    <row r="69" spans="2:6">
      <c r="B69" s="5"/>
      <c r="C69" s="27"/>
    </row>
    <row r="70" spans="2:6">
      <c r="B70" s="5"/>
      <c r="C70" s="27"/>
      <c r="E70" s="21" t="s">
        <v>6</v>
      </c>
      <c r="F70" s="17">
        <f>E68-F68</f>
        <v>-1306775</v>
      </c>
    </row>
  </sheetData>
  <printOptions horizontalCentered="1" verticalCentered="1"/>
  <pageMargins left="0" right="0" top="0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JANVIER 2019</vt:lpstr>
      <vt:lpstr>FEVRIER 2019</vt:lpstr>
      <vt:lpstr>MARS 2019</vt:lpstr>
      <vt:lpstr>AVRIL 2019</vt:lpstr>
      <vt:lpstr>MAI 2019</vt:lpstr>
      <vt:lpstr>JUIN 2019</vt:lpstr>
      <vt:lpstr>JUILLET 2019</vt:lpstr>
      <vt:lpstr>AOÛT 2018</vt:lpstr>
      <vt:lpstr>SEPTEMBRE 2018</vt:lpstr>
      <vt:lpstr>OCTOBRE 2018</vt:lpstr>
      <vt:lpstr>NOVEMBRE 2018</vt:lpstr>
      <vt:lpstr>DECEMBRE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SOSB03</dc:creator>
  <cp:lastModifiedBy>SOSB04</cp:lastModifiedBy>
  <cp:lastPrinted>2019-07-26T18:35:40Z</cp:lastPrinted>
  <dcterms:created xsi:type="dcterms:W3CDTF">2016-01-05T07:27:56Z</dcterms:created>
  <dcterms:modified xsi:type="dcterms:W3CDTF">2019-07-26T18:46:17Z</dcterms:modified>
</cp:coreProperties>
</file>