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520" windowHeight="7635" tabRatio="806" activeTab="6"/>
  </bookViews>
  <sheets>
    <sheet name="FABORY" sheetId="6" r:id="rId1"/>
    <sheet name="CHAVESBAO" sheetId="14" r:id="rId2"/>
    <sheet name="INDEX" sheetId="13" r:id="rId3"/>
    <sheet name="CELESA" sheetId="11" r:id="rId4"/>
    <sheet name="TENTE" sheetId="15" r:id="rId5"/>
    <sheet name="TRANSPORTEUR" sheetId="9" r:id="rId6"/>
    <sheet name="TRANSITAIRE" sheetId="8" r:id="rId7"/>
    <sheet name="BERNABE" sheetId="12" r:id="rId8"/>
    <sheet name="STAPPERT" sheetId="7" r:id="rId9"/>
    <sheet name="EMILE MAURIN" sheetId="5" r:id="rId10"/>
    <sheet name="DELA" sheetId="3" r:id="rId11"/>
    <sheet name="DESCOURS &amp; CABAUD" sheetId="4" r:id="rId1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3" i="8"/>
  <c r="I62"/>
  <c r="H59"/>
  <c r="I8" i="15"/>
  <c r="G8"/>
  <c r="I42" i="9"/>
  <c r="G42"/>
  <c r="I41"/>
  <c r="G41"/>
  <c r="I15" i="5"/>
  <c r="G15"/>
  <c r="I57" i="8"/>
  <c r="G20" i="9"/>
  <c r="G11" i="14" l="1"/>
  <c r="I11" s="1"/>
  <c r="G10"/>
  <c r="I10" s="1"/>
  <c r="I39" i="9"/>
  <c r="I56" i="8"/>
  <c r="I59"/>
  <c r="I32"/>
  <c r="G38" i="9"/>
  <c r="I38" s="1"/>
  <c r="H4" i="11"/>
  <c r="I53" i="8"/>
  <c r="G40" i="9"/>
  <c r="I40" s="1"/>
  <c r="G9" i="14"/>
  <c r="I9" s="1"/>
  <c r="G8"/>
  <c r="I8" s="1"/>
  <c r="I7"/>
  <c r="G7"/>
  <c r="H41" i="8"/>
  <c r="H5" i="15"/>
  <c r="I6"/>
  <c r="G6"/>
  <c r="H22" i="8"/>
  <c r="I55"/>
  <c r="I41"/>
  <c r="I54"/>
  <c r="I36" i="9"/>
  <c r="G37"/>
  <c r="I37" s="1"/>
  <c r="I7" i="15"/>
  <c r="G7"/>
  <c r="I45" i="8"/>
  <c r="H3" i="12"/>
  <c r="I46" i="8"/>
  <c r="I48"/>
  <c r="I52"/>
  <c r="I51"/>
  <c r="I50"/>
  <c r="I49"/>
  <c r="I47"/>
  <c r="I44"/>
  <c r="I43"/>
  <c r="I42"/>
  <c r="I40"/>
  <c r="I39"/>
  <c r="I38"/>
  <c r="G38"/>
  <c r="I35" i="9"/>
  <c r="G35"/>
  <c r="G34"/>
  <c r="I34" s="1"/>
  <c r="G33"/>
  <c r="I33" s="1"/>
  <c r="I31" l="1"/>
  <c r="G31"/>
  <c r="I32"/>
  <c r="G32"/>
  <c r="H25" i="8"/>
  <c r="I14" i="5"/>
  <c r="G14"/>
  <c r="G32" i="6"/>
  <c r="I32" s="1"/>
  <c r="I29" i="9"/>
  <c r="I30"/>
  <c r="I28"/>
  <c r="G28"/>
  <c r="I27"/>
  <c r="G28" i="6"/>
  <c r="I28" s="1"/>
  <c r="G31"/>
  <c r="I31" s="1"/>
  <c r="I29"/>
  <c r="G29"/>
  <c r="I30"/>
  <c r="G30"/>
  <c r="H6" i="14"/>
  <c r="G26" i="6"/>
  <c r="I26" s="1"/>
  <c r="I27"/>
  <c r="G27"/>
  <c r="G26" i="9"/>
  <c r="I4" i="11"/>
  <c r="G4"/>
  <c r="I37" i="8"/>
  <c r="H28"/>
  <c r="H35"/>
  <c r="I35" s="1"/>
  <c r="G25" i="6"/>
  <c r="I25" s="1"/>
  <c r="I24"/>
  <c r="G24"/>
  <c r="I36" i="8"/>
  <c r="I5" i="15"/>
  <c r="G5"/>
  <c r="I4"/>
  <c r="G4"/>
  <c r="I34" i="8" l="1"/>
  <c r="I33"/>
  <c r="I31"/>
  <c r="I23"/>
  <c r="I30"/>
  <c r="I3" i="15"/>
  <c r="G3"/>
  <c r="I23" i="9"/>
  <c r="I25"/>
  <c r="I26"/>
  <c r="G24"/>
  <c r="I24" s="1"/>
  <c r="G23" i="6"/>
  <c r="I23" s="1"/>
  <c r="G22" l="1"/>
  <c r="I22" s="1"/>
  <c r="G21"/>
  <c r="I21" s="1"/>
  <c r="I6" i="14"/>
  <c r="G6"/>
  <c r="I29" i="8"/>
  <c r="I27"/>
  <c r="I22"/>
  <c r="I22" i="9"/>
  <c r="G22"/>
  <c r="I21"/>
  <c r="I3" i="11"/>
  <c r="G3"/>
  <c r="I21" i="8"/>
  <c r="I24"/>
  <c r="I25"/>
  <c r="I26"/>
  <c r="I28"/>
  <c r="I20"/>
  <c r="I4" i="13"/>
  <c r="G4"/>
  <c r="G5"/>
  <c r="I5" s="1"/>
  <c r="G18" i="6"/>
  <c r="G17" i="9"/>
  <c r="G4" i="14"/>
  <c r="I4" s="1"/>
  <c r="G5"/>
  <c r="I5" s="1"/>
  <c r="G3"/>
  <c r="I3" s="1"/>
  <c r="I3" i="12"/>
  <c r="I3" i="13" l="1"/>
  <c r="G3"/>
  <c r="I16" i="8" l="1"/>
  <c r="I17"/>
  <c r="I18"/>
  <c r="I16" i="9"/>
  <c r="I17"/>
  <c r="I19"/>
  <c r="I20"/>
  <c r="H13" i="6"/>
  <c r="I13" s="1"/>
  <c r="H12" i="9"/>
  <c r="I15" i="8"/>
  <c r="I15" i="9"/>
  <c r="H12" i="8"/>
  <c r="I14" l="1"/>
  <c r="I15" i="6" l="1"/>
  <c r="I16"/>
  <c r="G15"/>
  <c r="G16"/>
  <c r="G17"/>
  <c r="I17" s="1"/>
  <c r="I18"/>
  <c r="G19"/>
  <c r="I19" s="1"/>
  <c r="G20"/>
  <c r="I20" s="1"/>
  <c r="G13" i="5"/>
  <c r="G12"/>
  <c r="G11"/>
  <c r="I14" i="6"/>
  <c r="G14"/>
  <c r="F14"/>
  <c r="I12" i="8"/>
  <c r="I11"/>
  <c r="F11"/>
  <c r="G10" i="5"/>
  <c r="I10" s="1"/>
  <c r="E10"/>
  <c r="G13" i="6"/>
  <c r="I11" i="9"/>
  <c r="F11"/>
  <c r="I9" i="8"/>
  <c r="G7" i="7"/>
  <c r="I7"/>
  <c r="I10" i="8"/>
  <c r="F10"/>
  <c r="H6"/>
  <c r="F10" i="9"/>
  <c r="G9" i="5"/>
  <c r="E9"/>
  <c r="G8"/>
  <c r="I8" s="1"/>
  <c r="E8"/>
  <c r="I9"/>
  <c r="F9" i="8"/>
  <c r="I10" i="9"/>
  <c r="I12"/>
  <c r="I14"/>
  <c r="G9"/>
  <c r="I9"/>
  <c r="F9"/>
  <c r="F4" i="8"/>
  <c r="F3"/>
  <c r="F5"/>
  <c r="F6"/>
  <c r="F7"/>
  <c r="F8"/>
  <c r="F4" i="9"/>
  <c r="F5"/>
  <c r="F6"/>
  <c r="F7"/>
  <c r="F8"/>
  <c r="F3"/>
  <c r="E4" i="7"/>
  <c r="E5"/>
  <c r="E6"/>
  <c r="E3"/>
  <c r="E4" i="5"/>
  <c r="E5"/>
  <c r="E6"/>
  <c r="E7"/>
  <c r="E3"/>
  <c r="E3" i="6"/>
  <c r="E4"/>
  <c r="E5"/>
  <c r="E6"/>
  <c r="E7"/>
  <c r="E8"/>
  <c r="E9"/>
  <c r="E10"/>
  <c r="E11"/>
  <c r="E12"/>
  <c r="G12"/>
  <c r="I12"/>
  <c r="I6" i="8"/>
  <c r="I7"/>
  <c r="G7" i="9"/>
  <c r="I7" s="1"/>
  <c r="G7" i="5"/>
  <c r="I7"/>
  <c r="G6" i="9"/>
  <c r="I6" s="1"/>
  <c r="G11" i="6"/>
  <c r="I11"/>
  <c r="G8" i="9"/>
  <c r="I8" s="1"/>
  <c r="G6" i="7"/>
  <c r="I11" i="5"/>
  <c r="I12"/>
  <c r="I13"/>
  <c r="G5" i="9"/>
  <c r="I5" s="1"/>
  <c r="G10" i="6"/>
  <c r="I10"/>
  <c r="I3" i="9"/>
  <c r="I4"/>
  <c r="I4" i="8"/>
  <c r="I5"/>
  <c r="I8"/>
  <c r="I3"/>
  <c r="G6" i="5"/>
  <c r="I6"/>
  <c r="G8" i="6"/>
  <c r="I8"/>
  <c r="G9"/>
  <c r="I9"/>
  <c r="G6"/>
  <c r="I6"/>
  <c r="G7"/>
  <c r="I7"/>
  <c r="G4" i="7"/>
  <c r="I4"/>
  <c r="G5"/>
  <c r="G3" i="3"/>
  <c r="H5" i="6"/>
  <c r="H3" i="7"/>
  <c r="G3"/>
  <c r="I3"/>
  <c r="I6"/>
  <c r="G5" i="6"/>
  <c r="I5"/>
  <c r="G5" i="5"/>
  <c r="I5"/>
  <c r="H3" i="6"/>
  <c r="F3" i="4"/>
  <c r="F3" i="3"/>
  <c r="G4" i="5"/>
  <c r="I4" s="1"/>
  <c r="G3" i="6"/>
  <c r="G4"/>
  <c r="G3" i="5"/>
  <c r="I3" s="1"/>
  <c r="I3" i="6"/>
  <c r="I4"/>
  <c r="G3" i="4"/>
  <c r="H3"/>
  <c r="H3" i="3"/>
</calcChain>
</file>

<file path=xl/sharedStrings.xml><?xml version="1.0" encoding="utf-8"?>
<sst xmlns="http://schemas.openxmlformats.org/spreadsheetml/2006/main" count="453" uniqueCount="125">
  <si>
    <t>PAYE</t>
  </si>
  <si>
    <t>RESTE A PAYER</t>
  </si>
  <si>
    <t>EMILE MAURIN</t>
  </si>
  <si>
    <t>FABORY</t>
  </si>
  <si>
    <t>FC-15-05750</t>
  </si>
  <si>
    <t>01 - 15/10/15 - M</t>
  </si>
  <si>
    <t>IMPORTATION</t>
  </si>
  <si>
    <t>N° FACTURE</t>
  </si>
  <si>
    <t>DATE FACTURE</t>
  </si>
  <si>
    <t>MONTANT €</t>
  </si>
  <si>
    <t>MONTANT CFA</t>
  </si>
  <si>
    <t>STAPPERT</t>
  </si>
  <si>
    <t>02 - 30/06/16 - M</t>
  </si>
  <si>
    <t>03 - 10/09/16 - M</t>
  </si>
  <si>
    <t>04 - 03/12/16 - M</t>
  </si>
  <si>
    <t>05 - 14/01/17 - M</t>
  </si>
  <si>
    <t>FOURNISSEUR</t>
  </si>
  <si>
    <t>AGT.CI</t>
  </si>
  <si>
    <t>HESNAULT</t>
  </si>
  <si>
    <t>06 - 01/04/17 - M</t>
  </si>
  <si>
    <t>EBUTRANS</t>
  </si>
  <si>
    <t>09 - 06/05/17 - M</t>
  </si>
  <si>
    <t>07 - 20/05/17 - M</t>
  </si>
  <si>
    <t>08 - 27/05/17 - M</t>
  </si>
  <si>
    <t>971305/971306</t>
  </si>
  <si>
    <t>ECHEANCE</t>
  </si>
  <si>
    <t>10 - 08/07/17 - M</t>
  </si>
  <si>
    <t>11 - 29/07/17 - M</t>
  </si>
  <si>
    <t>12 - 01/10/17 - M</t>
  </si>
  <si>
    <t>13 - 11/11/17 - M</t>
  </si>
  <si>
    <t>14 - 11/11/17 - M</t>
  </si>
  <si>
    <t>16 - 04/11/17 - A</t>
  </si>
  <si>
    <t>15 - 09/12/17 - M</t>
  </si>
  <si>
    <t>1 - FAB - 06/01</t>
  </si>
  <si>
    <t>2 - FAB - 18/03</t>
  </si>
  <si>
    <t>3 - FAB - 28/04</t>
  </si>
  <si>
    <t>CAPEWEST</t>
  </si>
  <si>
    <t>INDEX</t>
  </si>
  <si>
    <t>COLIMEX</t>
  </si>
  <si>
    <t>-</t>
  </si>
  <si>
    <t>7 - FAB - 05/06</t>
  </si>
  <si>
    <t>CHAVESBAO</t>
  </si>
  <si>
    <t>ROUF803393</t>
  </si>
  <si>
    <t>5 - IND - 17/07</t>
  </si>
  <si>
    <t>6 - CHA - 17/07</t>
  </si>
  <si>
    <t>4 - BER - 31/08</t>
  </si>
  <si>
    <t>9 - IND - 10/09</t>
  </si>
  <si>
    <t>PSI</t>
  </si>
  <si>
    <t>MOVIS</t>
  </si>
  <si>
    <t>8 - CHA - 31/10</t>
  </si>
  <si>
    <t>UROMAR</t>
  </si>
  <si>
    <t>TU18002496</t>
  </si>
  <si>
    <t>BOLLORE</t>
  </si>
  <si>
    <t>12 - FAB - 26/10</t>
  </si>
  <si>
    <t>CELESA</t>
  </si>
  <si>
    <t>UME18006535</t>
  </si>
  <si>
    <t>10 - FAB - 17/11</t>
  </si>
  <si>
    <t>A réception M/se</t>
  </si>
  <si>
    <t>11 - IND - 01/12</t>
  </si>
  <si>
    <t>FMI18-04706</t>
  </si>
  <si>
    <t>13 - CEL - 08/12</t>
  </si>
  <si>
    <t>ROUF805961</t>
  </si>
  <si>
    <t>TENTE</t>
  </si>
  <si>
    <t>FMI18-04814</t>
  </si>
  <si>
    <t>15 - CHA - 02/02</t>
  </si>
  <si>
    <t>14 - TEN - 31/01</t>
  </si>
  <si>
    <t>1 - FAB - 20/01</t>
  </si>
  <si>
    <t>16 - FAB - 17/01</t>
  </si>
  <si>
    <t>UME19000199</t>
  </si>
  <si>
    <t>V5-153597</t>
  </si>
  <si>
    <t>A recep M/se</t>
  </si>
  <si>
    <t>AMI19-00434</t>
  </si>
  <si>
    <t>FMI19-00829</t>
  </si>
  <si>
    <t>FMI19-00999</t>
  </si>
  <si>
    <t>2 - TEN - 29/03</t>
  </si>
  <si>
    <t>V5-160207</t>
  </si>
  <si>
    <t>3 - TEN - 19/04</t>
  </si>
  <si>
    <t>V5-159647</t>
  </si>
  <si>
    <t>UNIVERSAL LOGISTICS</t>
  </si>
  <si>
    <t>TU19000617</t>
  </si>
  <si>
    <t>RDT</t>
  </si>
  <si>
    <t>SOGENA</t>
  </si>
  <si>
    <t>4 - CEL - 24/07</t>
  </si>
  <si>
    <t>ROUF903355</t>
  </si>
  <si>
    <t>7 - FAB - 03/08</t>
  </si>
  <si>
    <t>MEDLOG</t>
  </si>
  <si>
    <t>6 - FAB - 03/08</t>
  </si>
  <si>
    <t>9 - FAB - 03/08</t>
  </si>
  <si>
    <t>9AFGFP0060</t>
  </si>
  <si>
    <t>8 - FAB - 10/08</t>
  </si>
  <si>
    <t>ROUF903900</t>
  </si>
  <si>
    <t>10 - FAB - 24/08</t>
  </si>
  <si>
    <t>11 - FAB - 24/08</t>
  </si>
  <si>
    <t>12 - FAB - 24/08</t>
  </si>
  <si>
    <t>13 - FAB - 24/08</t>
  </si>
  <si>
    <t>15 - EM - 14/08</t>
  </si>
  <si>
    <t>14 - FAB - 31/08</t>
  </si>
  <si>
    <t>9AFGFP0068</t>
  </si>
  <si>
    <t>9AFGD00511</t>
  </si>
  <si>
    <t>9AFGP00547</t>
  </si>
  <si>
    <t>9AFGD00549</t>
  </si>
  <si>
    <t>9AFGP00548</t>
  </si>
  <si>
    <t>9AFAD00320</t>
  </si>
  <si>
    <t>FVE0036065</t>
  </si>
  <si>
    <t>18 - TEN - 29/10</t>
  </si>
  <si>
    <t>19- TEN - 16/11</t>
  </si>
  <si>
    <t>V5-170717</t>
  </si>
  <si>
    <t>19 - TEN - 16/11</t>
  </si>
  <si>
    <t>9AFAFP0074</t>
  </si>
  <si>
    <t>9AFAP00416</t>
  </si>
  <si>
    <t>9AFAD00413</t>
  </si>
  <si>
    <t>V5-171770</t>
  </si>
  <si>
    <t>SIFA</t>
  </si>
  <si>
    <t>20 - CHA - 08/02</t>
  </si>
  <si>
    <t>22 - CHA - 08/02</t>
  </si>
  <si>
    <t>UME20000486</t>
  </si>
  <si>
    <t>21 - CHA - 29/02</t>
  </si>
  <si>
    <t>3 - EM - 13/03</t>
  </si>
  <si>
    <t>3 - EM -13/03</t>
  </si>
  <si>
    <t>2 - CHA - 04/04</t>
  </si>
  <si>
    <t>1 - CHA - 04/04</t>
  </si>
  <si>
    <t>16500/P0032958</t>
  </si>
  <si>
    <t>4 - TEN - 18/03</t>
  </si>
  <si>
    <t>V5- 181131</t>
  </si>
  <si>
    <t>TU20A00852</t>
  </si>
</sst>
</file>

<file path=xl/styles.xml><?xml version="1.0" encoding="utf-8"?>
<styleSheet xmlns="http://schemas.openxmlformats.org/spreadsheetml/2006/main">
  <numFmts count="2">
    <numFmt numFmtId="164" formatCode="_-* #,##0\ &quot;CFA&quot;_-;\-* #,##0\ &quot;CFA&quot;_-;_-* &quot;-&quot;\ &quot;CFA&quot;_-;_-@_-"/>
    <numFmt numFmtId="165" formatCode="_-[$€-2]\ * #,##0.00_-;\-[$€-2]\ * #,##0.00_-;_-[$€-2]\ * &quot;-&quot;??_-;_-@_-"/>
  </numFmts>
  <fonts count="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0" fillId="0" borderId="6" xfId="0" applyNumberForma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/>
    <xf numFmtId="0" fontId="4" fillId="0" borderId="1" xfId="0" applyFon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/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Medium4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2"/>
  <sheetViews>
    <sheetView topLeftCell="A13" workbookViewId="0">
      <selection activeCell="I24" sqref="I24:I32"/>
    </sheetView>
  </sheetViews>
  <sheetFormatPr baseColWidth="10" defaultRowHeight="15.75"/>
  <cols>
    <col min="2" max="2" width="15.25" style="1" bestFit="1" customWidth="1"/>
    <col min="3" max="3" width="10.875" style="1" bestFit="1" customWidth="1"/>
    <col min="4" max="4" width="13.375" style="1" bestFit="1" customWidth="1"/>
    <col min="5" max="5" width="13.375" style="1" customWidth="1"/>
    <col min="6" max="6" width="15.125" style="20" bestFit="1" customWidth="1"/>
    <col min="7" max="9" width="14.75" style="20" bestFit="1" customWidth="1"/>
  </cols>
  <sheetData>
    <row r="2" spans="2:10" s="1" customFormat="1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  <c r="J2" s="9"/>
    </row>
    <row r="3" spans="2:10">
      <c r="B3" s="60" t="s">
        <v>5</v>
      </c>
      <c r="C3" s="4">
        <v>915004804</v>
      </c>
      <c r="D3" s="5">
        <v>42263</v>
      </c>
      <c r="E3" s="5">
        <f>D3+60</f>
        <v>42323</v>
      </c>
      <c r="F3" s="21">
        <v>20526.310000000001</v>
      </c>
      <c r="G3" s="18">
        <f>F3*655.957</f>
        <v>13464376.728670001</v>
      </c>
      <c r="H3" s="18">
        <f>2291999+2235711-6153+3000000+5942820</f>
        <v>13464377</v>
      </c>
      <c r="I3" s="18">
        <f>G3-H3</f>
        <v>-0.27132999897003174</v>
      </c>
      <c r="J3" s="1"/>
    </row>
    <row r="4" spans="2:10">
      <c r="B4" s="61"/>
      <c r="C4" s="4">
        <v>915004805</v>
      </c>
      <c r="D4" s="5">
        <v>42263</v>
      </c>
      <c r="E4" s="5">
        <f t="shared" ref="E4:E12" si="0">D4+60</f>
        <v>42323</v>
      </c>
      <c r="F4" s="21">
        <v>9.3800000000000008</v>
      </c>
      <c r="G4" s="18">
        <f>F4*655.957</f>
        <v>6152.8766600000008</v>
      </c>
      <c r="H4" s="18">
        <v>6153</v>
      </c>
      <c r="I4" s="18">
        <f>G4-H4</f>
        <v>-0.12333999999918888</v>
      </c>
      <c r="J4" s="1"/>
    </row>
    <row r="5" spans="2:10">
      <c r="B5" s="16" t="s">
        <v>12</v>
      </c>
      <c r="C5" s="4">
        <v>916001367</v>
      </c>
      <c r="D5" s="5">
        <v>42510</v>
      </c>
      <c r="E5" s="5">
        <f t="shared" si="0"/>
        <v>42570</v>
      </c>
      <c r="F5" s="21">
        <v>11370.66</v>
      </c>
      <c r="G5" s="18">
        <f>F5*655.957</f>
        <v>7458664.0216199998</v>
      </c>
      <c r="H5" s="18">
        <f>2486221+4972443</f>
        <v>7458664</v>
      </c>
      <c r="I5" s="18">
        <f>G5-H5</f>
        <v>2.1619999781250954E-2</v>
      </c>
    </row>
    <row r="6" spans="2:10">
      <c r="B6" s="60" t="s">
        <v>14</v>
      </c>
      <c r="C6" s="4">
        <v>916002989</v>
      </c>
      <c r="D6" s="5">
        <v>42671</v>
      </c>
      <c r="E6" s="5">
        <f t="shared" si="0"/>
        <v>42731</v>
      </c>
      <c r="F6" s="21">
        <v>865.93</v>
      </c>
      <c r="G6" s="18">
        <f t="shared" ref="G6:G26" si="1">F6*655.957</f>
        <v>568012.84500999993</v>
      </c>
      <c r="H6" s="18">
        <v>568013</v>
      </c>
      <c r="I6" s="18">
        <f t="shared" ref="I6:I12" si="2">G6-H6</f>
        <v>-0.15499000006821007</v>
      </c>
    </row>
    <row r="7" spans="2:10">
      <c r="B7" s="62"/>
      <c r="C7" s="4">
        <v>916003025</v>
      </c>
      <c r="D7" s="5">
        <v>42674</v>
      </c>
      <c r="E7" s="5">
        <f t="shared" si="0"/>
        <v>42734</v>
      </c>
      <c r="F7" s="21">
        <v>3040.14</v>
      </c>
      <c r="G7" s="18">
        <f t="shared" si="1"/>
        <v>1994201.1139799999</v>
      </c>
      <c r="H7" s="18">
        <v>1994201</v>
      </c>
      <c r="I7" s="18">
        <f t="shared" si="2"/>
        <v>0.11397999990731478</v>
      </c>
    </row>
    <row r="8" spans="2:10">
      <c r="B8" s="62"/>
      <c r="C8" s="4">
        <v>916003026</v>
      </c>
      <c r="D8" s="5">
        <v>42674</v>
      </c>
      <c r="E8" s="5">
        <f t="shared" si="0"/>
        <v>42734</v>
      </c>
      <c r="F8" s="21">
        <v>400.32</v>
      </c>
      <c r="G8" s="18">
        <f t="shared" si="1"/>
        <v>262592.70623999997</v>
      </c>
      <c r="H8" s="18">
        <v>262593</v>
      </c>
      <c r="I8" s="18">
        <f t="shared" si="2"/>
        <v>-0.2937600000295788</v>
      </c>
    </row>
    <row r="9" spans="2:10">
      <c r="B9" s="61"/>
      <c r="C9" s="4">
        <v>916003030</v>
      </c>
      <c r="D9" s="5">
        <v>42676</v>
      </c>
      <c r="E9" s="5">
        <f t="shared" si="0"/>
        <v>42736</v>
      </c>
      <c r="F9" s="21">
        <v>9095.7900000000009</v>
      </c>
      <c r="G9" s="18">
        <f t="shared" si="1"/>
        <v>5966447.121030001</v>
      </c>
      <c r="H9" s="18">
        <v>5966447</v>
      </c>
      <c r="I9" s="18">
        <f t="shared" si="2"/>
        <v>0.12103000096976757</v>
      </c>
    </row>
    <row r="10" spans="2:10">
      <c r="B10" s="23" t="s">
        <v>19</v>
      </c>
      <c r="C10" s="17">
        <v>917000587</v>
      </c>
      <c r="D10" s="5">
        <v>42786</v>
      </c>
      <c r="E10" s="5">
        <f t="shared" si="0"/>
        <v>42846</v>
      </c>
      <c r="F10" s="22">
        <v>7096.11</v>
      </c>
      <c r="G10" s="19">
        <f t="shared" si="1"/>
        <v>4654743.0272699995</v>
      </c>
      <c r="H10" s="18">
        <v>4654743</v>
      </c>
      <c r="I10" s="18">
        <f t="shared" si="2"/>
        <v>2.7269999496638775E-2</v>
      </c>
    </row>
    <row r="11" spans="2:10">
      <c r="B11" s="25" t="s">
        <v>21</v>
      </c>
      <c r="C11" s="4">
        <v>917001190</v>
      </c>
      <c r="D11" s="5">
        <v>42829</v>
      </c>
      <c r="E11" s="5">
        <f t="shared" si="0"/>
        <v>42889</v>
      </c>
      <c r="F11" s="22">
        <v>5782.28</v>
      </c>
      <c r="G11" s="18">
        <f t="shared" si="1"/>
        <v>3792927.0419599996</v>
      </c>
      <c r="H11" s="18">
        <v>3792927</v>
      </c>
      <c r="I11" s="18">
        <f t="shared" si="2"/>
        <v>4.1959999594837427E-2</v>
      </c>
    </row>
    <row r="12" spans="2:10">
      <c r="B12" s="31" t="s">
        <v>26</v>
      </c>
      <c r="C12" s="4">
        <v>917001813</v>
      </c>
      <c r="D12" s="5">
        <v>42885</v>
      </c>
      <c r="E12" s="5">
        <f t="shared" si="0"/>
        <v>42945</v>
      </c>
      <c r="F12" s="22">
        <v>7676.89</v>
      </c>
      <c r="G12" s="18">
        <f t="shared" si="1"/>
        <v>5035709.7337300004</v>
      </c>
      <c r="H12" s="18">
        <v>5035710</v>
      </c>
      <c r="I12" s="18">
        <f t="shared" si="2"/>
        <v>-0.26626999955624342</v>
      </c>
    </row>
    <row r="13" spans="2:10">
      <c r="B13" s="35" t="s">
        <v>30</v>
      </c>
      <c r="C13" s="4">
        <v>917003291</v>
      </c>
      <c r="D13" s="5">
        <v>43004</v>
      </c>
      <c r="E13" s="5">
        <v>43069</v>
      </c>
      <c r="F13" s="22">
        <v>23584.57</v>
      </c>
      <c r="G13" s="18">
        <f t="shared" si="1"/>
        <v>15470463.78349</v>
      </c>
      <c r="H13" s="18">
        <f>5156821+10313643</f>
        <v>15470464</v>
      </c>
      <c r="I13" s="19">
        <f>G13-H13</f>
        <v>-0.21650999970734119</v>
      </c>
      <c r="J13" s="43"/>
    </row>
    <row r="14" spans="2:10">
      <c r="B14" s="35" t="s">
        <v>31</v>
      </c>
      <c r="C14" s="4">
        <v>917003818</v>
      </c>
      <c r="D14" s="5">
        <v>43040</v>
      </c>
      <c r="E14" s="5">
        <v>43131</v>
      </c>
      <c r="F14" s="22">
        <f>2361.55</f>
        <v>2361.5500000000002</v>
      </c>
      <c r="G14" s="18">
        <f t="shared" si="1"/>
        <v>1549075.2533500001</v>
      </c>
      <c r="H14" s="18">
        <v>1549075</v>
      </c>
      <c r="I14" s="19">
        <f>G14-H14</f>
        <v>0.25335000013001263</v>
      </c>
    </row>
    <row r="15" spans="2:10">
      <c r="B15" s="35" t="s">
        <v>33</v>
      </c>
      <c r="C15" s="4">
        <v>917004234</v>
      </c>
      <c r="D15" s="5">
        <v>43073</v>
      </c>
      <c r="E15" s="5">
        <v>43159</v>
      </c>
      <c r="F15" s="22">
        <v>16062.22</v>
      </c>
      <c r="G15" s="18">
        <f t="shared" si="1"/>
        <v>10536125.644539999</v>
      </c>
      <c r="H15" s="18">
        <v>10536126</v>
      </c>
      <c r="I15" s="19">
        <f t="shared" ref="I15:I23" si="3">G15-H15</f>
        <v>-0.35546000115573406</v>
      </c>
    </row>
    <row r="16" spans="2:10">
      <c r="B16" s="35" t="s">
        <v>34</v>
      </c>
      <c r="C16" s="4">
        <v>918000914</v>
      </c>
      <c r="D16" s="5">
        <v>43172</v>
      </c>
      <c r="E16" s="5">
        <v>43251</v>
      </c>
      <c r="F16" s="22">
        <v>2263.87</v>
      </c>
      <c r="G16" s="18">
        <f t="shared" si="1"/>
        <v>1485001.37359</v>
      </c>
      <c r="H16" s="18">
        <v>1485001</v>
      </c>
      <c r="I16" s="19">
        <f t="shared" si="3"/>
        <v>0.37358999997377396</v>
      </c>
    </row>
    <row r="17" spans="2:9">
      <c r="B17" s="35" t="s">
        <v>35</v>
      </c>
      <c r="C17" s="4">
        <v>918001073</v>
      </c>
      <c r="D17" s="5">
        <v>43187</v>
      </c>
      <c r="E17" s="5">
        <v>43251</v>
      </c>
      <c r="F17" s="22">
        <v>17968.29</v>
      </c>
      <c r="G17" s="18">
        <f t="shared" si="1"/>
        <v>11786425.603530001</v>
      </c>
      <c r="H17" s="18">
        <v>11786426</v>
      </c>
      <c r="I17" s="19">
        <f t="shared" si="3"/>
        <v>-0.39646999910473824</v>
      </c>
    </row>
    <row r="18" spans="2:9">
      <c r="B18" s="35" t="s">
        <v>40</v>
      </c>
      <c r="C18" s="4">
        <v>918001786</v>
      </c>
      <c r="D18" s="5">
        <v>43250</v>
      </c>
      <c r="E18" s="5">
        <v>43311</v>
      </c>
      <c r="F18" s="22">
        <v>969.93</v>
      </c>
      <c r="G18" s="18">
        <f>F18*655.957</f>
        <v>636232.37300999998</v>
      </c>
      <c r="H18" s="18">
        <v>636232</v>
      </c>
      <c r="I18" s="19">
        <f t="shared" si="3"/>
        <v>0.37300999998115003</v>
      </c>
    </row>
    <row r="19" spans="2:9">
      <c r="B19" s="35" t="s">
        <v>56</v>
      </c>
      <c r="C19" s="17">
        <v>918003584</v>
      </c>
      <c r="D19" s="36">
        <v>43390</v>
      </c>
      <c r="E19" s="36">
        <v>43451</v>
      </c>
      <c r="F19" s="22">
        <v>19298.72</v>
      </c>
      <c r="G19" s="19">
        <f t="shared" si="1"/>
        <v>12659130.47504</v>
      </c>
      <c r="H19" s="19">
        <v>12659130</v>
      </c>
      <c r="I19" s="19">
        <f t="shared" si="3"/>
        <v>0.4750399999320507</v>
      </c>
    </row>
    <row r="20" spans="2:9">
      <c r="B20" s="35" t="s">
        <v>53</v>
      </c>
      <c r="C20" s="4">
        <v>918003673</v>
      </c>
      <c r="D20" s="5">
        <v>43397</v>
      </c>
      <c r="E20" s="5">
        <v>43458</v>
      </c>
      <c r="F20" s="22">
        <v>2034.19</v>
      </c>
      <c r="G20" s="18">
        <f t="shared" si="1"/>
        <v>1334341.16983</v>
      </c>
      <c r="H20" s="18">
        <v>1334341</v>
      </c>
      <c r="I20" s="18">
        <f t="shared" si="3"/>
        <v>0.16983000002801418</v>
      </c>
    </row>
    <row r="21" spans="2:9">
      <c r="B21" s="63" t="s">
        <v>67</v>
      </c>
      <c r="C21" s="17">
        <v>918004366</v>
      </c>
      <c r="D21" s="65">
        <v>43448</v>
      </c>
      <c r="E21" s="65">
        <v>43510</v>
      </c>
      <c r="F21" s="22">
        <v>55.12</v>
      </c>
      <c r="G21" s="19">
        <f t="shared" si="1"/>
        <v>36156.349839999995</v>
      </c>
      <c r="H21" s="19">
        <v>36156</v>
      </c>
      <c r="I21" s="19">
        <f t="shared" si="3"/>
        <v>0.34983999999531079</v>
      </c>
    </row>
    <row r="22" spans="2:9">
      <c r="B22" s="64"/>
      <c r="C22" s="17">
        <v>918004367</v>
      </c>
      <c r="D22" s="66"/>
      <c r="E22" s="66"/>
      <c r="F22" s="22">
        <v>2166.0300000000002</v>
      </c>
      <c r="G22" s="19">
        <f t="shared" si="1"/>
        <v>1420822.5407100001</v>
      </c>
      <c r="H22" s="19">
        <v>1420823</v>
      </c>
      <c r="I22" s="19">
        <f t="shared" si="3"/>
        <v>-0.45928999991156161</v>
      </c>
    </row>
    <row r="23" spans="2:9">
      <c r="B23" s="35" t="s">
        <v>66</v>
      </c>
      <c r="C23" s="17">
        <v>919000156</v>
      </c>
      <c r="D23" s="36">
        <v>43480</v>
      </c>
      <c r="E23" s="36">
        <v>43539</v>
      </c>
      <c r="F23" s="22">
        <v>6689.68</v>
      </c>
      <c r="G23" s="19">
        <f t="shared" si="1"/>
        <v>4388142.4237599997</v>
      </c>
      <c r="H23" s="19">
        <v>4388142</v>
      </c>
      <c r="I23" s="19">
        <f t="shared" si="3"/>
        <v>0.42375999968498945</v>
      </c>
    </row>
    <row r="24" spans="2:9">
      <c r="B24" s="35" t="s">
        <v>86</v>
      </c>
      <c r="C24" s="4">
        <v>919002932</v>
      </c>
      <c r="D24" s="5">
        <v>43588</v>
      </c>
      <c r="E24" s="36">
        <v>43677</v>
      </c>
      <c r="F24" s="22">
        <v>13048.05</v>
      </c>
      <c r="G24" s="19">
        <f t="shared" si="1"/>
        <v>8558959.7338499986</v>
      </c>
      <c r="H24" s="53"/>
      <c r="I24" s="18">
        <f t="shared" ref="I24:I32" si="4">G24-H24</f>
        <v>8558959.7338499986</v>
      </c>
    </row>
    <row r="25" spans="2:9">
      <c r="B25" s="35" t="s">
        <v>84</v>
      </c>
      <c r="C25" s="4">
        <v>919002931</v>
      </c>
      <c r="D25" s="5">
        <v>43588</v>
      </c>
      <c r="E25" s="36">
        <v>43677</v>
      </c>
      <c r="F25" s="22">
        <v>16455.099999999999</v>
      </c>
      <c r="G25" s="19">
        <f t="shared" si="1"/>
        <v>10793838.030699998</v>
      </c>
      <c r="H25" s="53"/>
      <c r="I25" s="19">
        <f t="shared" si="4"/>
        <v>10793838.030699998</v>
      </c>
    </row>
    <row r="26" spans="2:9">
      <c r="B26" s="35" t="s">
        <v>89</v>
      </c>
      <c r="C26" s="4">
        <v>919003899</v>
      </c>
      <c r="D26" s="5">
        <v>43655</v>
      </c>
      <c r="E26" s="36">
        <v>43738</v>
      </c>
      <c r="F26" s="22">
        <v>1513.83</v>
      </c>
      <c r="G26" s="19">
        <f t="shared" si="1"/>
        <v>993007.38530999993</v>
      </c>
      <c r="H26" s="53"/>
      <c r="I26" s="18">
        <f t="shared" si="4"/>
        <v>993007.38530999993</v>
      </c>
    </row>
    <row r="27" spans="2:9">
      <c r="B27" s="35" t="s">
        <v>87</v>
      </c>
      <c r="C27" s="4">
        <v>919003789</v>
      </c>
      <c r="D27" s="5">
        <v>43648</v>
      </c>
      <c r="E27" s="36">
        <v>43738</v>
      </c>
      <c r="F27" s="22">
        <v>1519.4</v>
      </c>
      <c r="G27" s="19">
        <f t="shared" ref="G27:G32" si="5">F27*655.957</f>
        <v>996661.0658000001</v>
      </c>
      <c r="H27" s="53"/>
      <c r="I27" s="18">
        <f t="shared" si="4"/>
        <v>996661.0658000001</v>
      </c>
    </row>
    <row r="28" spans="2:9">
      <c r="B28" s="35" t="s">
        <v>91</v>
      </c>
      <c r="C28" s="4">
        <v>919003951</v>
      </c>
      <c r="D28" s="5">
        <v>43657</v>
      </c>
      <c r="E28" s="36">
        <v>43738</v>
      </c>
      <c r="F28" s="22">
        <v>1501.36</v>
      </c>
      <c r="G28" s="19">
        <f t="shared" si="5"/>
        <v>984827.60151999991</v>
      </c>
      <c r="H28" s="53"/>
      <c r="I28" s="18">
        <f t="shared" si="4"/>
        <v>984827.60151999991</v>
      </c>
    </row>
    <row r="29" spans="2:9">
      <c r="B29" s="35" t="s">
        <v>92</v>
      </c>
      <c r="C29" s="4">
        <v>919004021</v>
      </c>
      <c r="D29" s="5">
        <v>43661</v>
      </c>
      <c r="E29" s="36">
        <v>43738</v>
      </c>
      <c r="F29" s="22">
        <v>1521.75</v>
      </c>
      <c r="G29" s="19">
        <f t="shared" si="5"/>
        <v>998202.56475000002</v>
      </c>
      <c r="H29" s="53"/>
      <c r="I29" s="18">
        <f t="shared" si="4"/>
        <v>998202.56475000002</v>
      </c>
    </row>
    <row r="30" spans="2:9">
      <c r="B30" s="35" t="s">
        <v>93</v>
      </c>
      <c r="C30" s="4">
        <v>919004020</v>
      </c>
      <c r="D30" s="5">
        <v>43661</v>
      </c>
      <c r="E30" s="36">
        <v>43738</v>
      </c>
      <c r="F30" s="22">
        <v>1512.92</v>
      </c>
      <c r="G30" s="19">
        <f t="shared" si="5"/>
        <v>992410.46444000001</v>
      </c>
      <c r="H30" s="53"/>
      <c r="I30" s="18">
        <f t="shared" si="4"/>
        <v>992410.46444000001</v>
      </c>
    </row>
    <row r="31" spans="2:9">
      <c r="B31" s="35" t="s">
        <v>94</v>
      </c>
      <c r="C31" s="4">
        <v>919004024</v>
      </c>
      <c r="D31" s="5">
        <v>43661</v>
      </c>
      <c r="E31" s="36">
        <v>43738</v>
      </c>
      <c r="F31" s="22">
        <v>1514.19</v>
      </c>
      <c r="G31" s="19">
        <f t="shared" si="5"/>
        <v>993243.52983000001</v>
      </c>
      <c r="H31" s="53"/>
      <c r="I31" s="18">
        <f t="shared" si="4"/>
        <v>993243.52983000001</v>
      </c>
    </row>
    <row r="32" spans="2:9">
      <c r="B32" s="35" t="s">
        <v>96</v>
      </c>
      <c r="C32" s="4">
        <v>919004049</v>
      </c>
      <c r="D32" s="5">
        <v>43664</v>
      </c>
      <c r="E32" s="36">
        <v>43738</v>
      </c>
      <c r="F32" s="22">
        <v>1525.65</v>
      </c>
      <c r="G32" s="19">
        <f t="shared" si="5"/>
        <v>1000760.7970500001</v>
      </c>
      <c r="H32" s="53"/>
      <c r="I32" s="18">
        <f t="shared" si="4"/>
        <v>1000760.7970500001</v>
      </c>
    </row>
  </sheetData>
  <mergeCells count="5">
    <mergeCell ref="B3:B4"/>
    <mergeCell ref="B6:B9"/>
    <mergeCell ref="B21:B22"/>
    <mergeCell ref="D21:D22"/>
    <mergeCell ref="E21:E22"/>
  </mergeCells>
  <conditionalFormatting sqref="I3:I1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J15"/>
  <sheetViews>
    <sheetView workbookViewId="0">
      <selection activeCell="I16" sqref="I16"/>
    </sheetView>
  </sheetViews>
  <sheetFormatPr baseColWidth="10" defaultRowHeight="15.75"/>
  <cols>
    <col min="1" max="1" width="11" style="1"/>
    <col min="2" max="2" width="15.25" style="1" bestFit="1" customWidth="1"/>
    <col min="3" max="3" width="15.375" style="1" customWidth="1"/>
    <col min="4" max="4" width="13.375" style="1" bestFit="1" customWidth="1"/>
    <col min="5" max="5" width="13.375" style="1" customWidth="1"/>
    <col min="6" max="6" width="13.75" style="1" bestFit="1" customWidth="1"/>
    <col min="7" max="9" width="14.75" style="1" bestFit="1" customWidth="1"/>
    <col min="10" max="16384" width="11" style="1"/>
  </cols>
  <sheetData>
    <row r="2" spans="2:10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  <c r="J2" s="9"/>
    </row>
    <row r="3" spans="2:10">
      <c r="B3" s="60" t="s">
        <v>5</v>
      </c>
      <c r="C3" s="4">
        <v>877255</v>
      </c>
      <c r="D3" s="5">
        <v>42242</v>
      </c>
      <c r="E3" s="5">
        <f>D3+60</f>
        <v>42302</v>
      </c>
      <c r="F3" s="6">
        <v>10335.540000000001</v>
      </c>
      <c r="G3" s="7">
        <f t="shared" ref="G3:G15" si="0">F3*655.957</f>
        <v>6779669.8117800001</v>
      </c>
      <c r="H3" s="7">
        <v>6779670</v>
      </c>
      <c r="I3" s="7">
        <f>G3-H3</f>
        <v>-0.18821999989449978</v>
      </c>
    </row>
    <row r="4" spans="2:10">
      <c r="B4" s="61"/>
      <c r="C4" s="4">
        <v>885960</v>
      </c>
      <c r="D4" s="5">
        <v>42256</v>
      </c>
      <c r="E4" s="5">
        <f t="shared" ref="E4:E10" si="1">D4+60</f>
        <v>42316</v>
      </c>
      <c r="F4" s="6">
        <v>11068.5</v>
      </c>
      <c r="G4" s="7">
        <f t="shared" si="0"/>
        <v>7260460.0544999996</v>
      </c>
      <c r="H4" s="7">
        <v>7260460</v>
      </c>
      <c r="I4" s="7">
        <f>G4-H4</f>
        <v>5.449999962002039E-2</v>
      </c>
    </row>
    <row r="5" spans="2:10">
      <c r="B5" s="3" t="s">
        <v>12</v>
      </c>
      <c r="C5" s="4">
        <v>172003</v>
      </c>
      <c r="D5" s="5">
        <v>42509</v>
      </c>
      <c r="E5" s="5">
        <f t="shared" si="1"/>
        <v>42569</v>
      </c>
      <c r="F5" s="6">
        <v>1995.58</v>
      </c>
      <c r="G5" s="7">
        <f t="shared" si="0"/>
        <v>1309014.6700599999</v>
      </c>
      <c r="H5" s="7">
        <v>1309015</v>
      </c>
      <c r="I5" s="7">
        <f>G5-H5</f>
        <v>-0.32994000008329749</v>
      </c>
    </row>
    <row r="6" spans="2:10">
      <c r="B6" s="14" t="s">
        <v>15</v>
      </c>
      <c r="C6" s="4">
        <v>592779</v>
      </c>
      <c r="D6" s="5">
        <v>42705</v>
      </c>
      <c r="E6" s="5">
        <f t="shared" si="1"/>
        <v>42765</v>
      </c>
      <c r="F6" s="6">
        <v>5393.4</v>
      </c>
      <c r="G6" s="7">
        <f t="shared" si="0"/>
        <v>3537838.4837999996</v>
      </c>
      <c r="H6" s="7">
        <v>3537838</v>
      </c>
      <c r="I6" s="7">
        <f>G6-H6</f>
        <v>0.48379999957978725</v>
      </c>
    </row>
    <row r="7" spans="2:10">
      <c r="B7" s="30" t="s">
        <v>23</v>
      </c>
      <c r="C7" s="4" t="s">
        <v>24</v>
      </c>
      <c r="D7" s="5">
        <v>42846</v>
      </c>
      <c r="E7" s="5">
        <f t="shared" si="1"/>
        <v>42906</v>
      </c>
      <c r="F7" s="6">
        <v>2393.27</v>
      </c>
      <c r="G7" s="7">
        <f t="shared" si="0"/>
        <v>1569882.20939</v>
      </c>
      <c r="H7" s="7">
        <v>1569882</v>
      </c>
      <c r="I7" s="7">
        <f t="shared" ref="I7:I13" si="2">G7-H7</f>
        <v>0.20938999997451901</v>
      </c>
    </row>
    <row r="8" spans="2:10">
      <c r="B8" s="60" t="s">
        <v>27</v>
      </c>
      <c r="C8" s="4">
        <v>199046</v>
      </c>
      <c r="D8" s="5">
        <v>42886</v>
      </c>
      <c r="E8" s="5">
        <f t="shared" si="1"/>
        <v>42946</v>
      </c>
      <c r="F8" s="6">
        <v>6219.39</v>
      </c>
      <c r="G8" s="7">
        <f t="shared" si="0"/>
        <v>4079652.4062300003</v>
      </c>
      <c r="H8" s="7">
        <v>4079652</v>
      </c>
      <c r="I8" s="29">
        <f>G8-H8</f>
        <v>0.40623000031337142</v>
      </c>
    </row>
    <row r="9" spans="2:10">
      <c r="B9" s="61"/>
      <c r="C9" s="4">
        <v>342424</v>
      </c>
      <c r="D9" s="5">
        <v>42914</v>
      </c>
      <c r="E9" s="5">
        <f t="shared" si="1"/>
        <v>42974</v>
      </c>
      <c r="F9" s="6">
        <v>3804.3</v>
      </c>
      <c r="G9" s="7">
        <f t="shared" si="0"/>
        <v>2495457.2151000001</v>
      </c>
      <c r="H9" s="7">
        <v>2495457</v>
      </c>
      <c r="I9" s="29">
        <f t="shared" si="2"/>
        <v>0.21510000014677644</v>
      </c>
    </row>
    <row r="10" spans="2:10">
      <c r="B10" s="35" t="s">
        <v>29</v>
      </c>
      <c r="C10" s="4">
        <v>477165</v>
      </c>
      <c r="D10" s="5">
        <v>42999</v>
      </c>
      <c r="E10" s="5">
        <f t="shared" si="1"/>
        <v>43059</v>
      </c>
      <c r="F10" s="6">
        <v>7516.28</v>
      </c>
      <c r="G10" s="7">
        <f t="shared" si="0"/>
        <v>4930356.4799600001</v>
      </c>
      <c r="H10" s="7">
        <v>4930356</v>
      </c>
      <c r="I10" s="29">
        <f t="shared" si="2"/>
        <v>0.4799600001424551</v>
      </c>
    </row>
    <row r="11" spans="2:10">
      <c r="B11" s="60" t="s">
        <v>32</v>
      </c>
      <c r="C11" s="4">
        <v>614490</v>
      </c>
      <c r="D11" s="5">
        <v>43038</v>
      </c>
      <c r="E11" s="5">
        <v>43098</v>
      </c>
      <c r="F11" s="6">
        <v>1739.19</v>
      </c>
      <c r="G11" s="7">
        <f t="shared" si="0"/>
        <v>1140833.8548300001</v>
      </c>
      <c r="H11" s="7">
        <v>1140834</v>
      </c>
      <c r="I11" s="29">
        <f t="shared" si="2"/>
        <v>-0.14516999991610646</v>
      </c>
    </row>
    <row r="12" spans="2:10">
      <c r="B12" s="62"/>
      <c r="C12" s="4">
        <v>614491</v>
      </c>
      <c r="D12" s="5">
        <v>43038</v>
      </c>
      <c r="E12" s="5">
        <v>43098</v>
      </c>
      <c r="F12" s="6">
        <v>1354.21</v>
      </c>
      <c r="G12" s="7">
        <f t="shared" si="0"/>
        <v>888303.52896999998</v>
      </c>
      <c r="H12" s="7">
        <v>888304</v>
      </c>
      <c r="I12" s="29">
        <f t="shared" si="2"/>
        <v>-0.47103000001516193</v>
      </c>
    </row>
    <row r="13" spans="2:10">
      <c r="B13" s="61"/>
      <c r="C13" s="4">
        <v>614493</v>
      </c>
      <c r="D13" s="5">
        <v>43038</v>
      </c>
      <c r="E13" s="5">
        <v>43098</v>
      </c>
      <c r="F13" s="6">
        <v>2025.4</v>
      </c>
      <c r="G13" s="7">
        <f t="shared" si="0"/>
        <v>1328575.3078000001</v>
      </c>
      <c r="H13" s="7">
        <v>1328575</v>
      </c>
      <c r="I13" s="29">
        <f t="shared" si="2"/>
        <v>0.30780000006780028</v>
      </c>
    </row>
    <row r="14" spans="2:10">
      <c r="B14" s="55" t="s">
        <v>95</v>
      </c>
      <c r="C14" s="4">
        <v>893103</v>
      </c>
      <c r="D14" s="5">
        <v>43685</v>
      </c>
      <c r="E14" s="5">
        <v>43685</v>
      </c>
      <c r="F14" s="6">
        <v>734.1</v>
      </c>
      <c r="G14" s="7">
        <f t="shared" si="0"/>
        <v>481538.03370000003</v>
      </c>
      <c r="H14" s="7">
        <v>481538</v>
      </c>
      <c r="I14" s="7">
        <f>G14-H14</f>
        <v>3.3700000029057264E-2</v>
      </c>
    </row>
    <row r="15" spans="2:10">
      <c r="B15" s="59" t="s">
        <v>117</v>
      </c>
      <c r="C15" s="4">
        <v>148194</v>
      </c>
      <c r="D15" s="5">
        <v>43902</v>
      </c>
      <c r="E15" s="5">
        <v>43982</v>
      </c>
      <c r="F15" s="6">
        <v>2870.33</v>
      </c>
      <c r="G15" s="7">
        <f t="shared" si="0"/>
        <v>1882813.05581</v>
      </c>
      <c r="H15" s="4"/>
      <c r="I15" s="7">
        <f>G15-H15</f>
        <v>1882813.05581</v>
      </c>
    </row>
  </sheetData>
  <mergeCells count="3">
    <mergeCell ref="B3:B4"/>
    <mergeCell ref="B8:B9"/>
    <mergeCell ref="B11:B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11"/>
  <sheetViews>
    <sheetView workbookViewId="0">
      <selection activeCell="D24" sqref="D24"/>
    </sheetView>
  </sheetViews>
  <sheetFormatPr baseColWidth="10" defaultRowHeight="15.75"/>
  <cols>
    <col min="1" max="1" width="11" style="1"/>
    <col min="2" max="2" width="15.25" style="2" bestFit="1" customWidth="1"/>
    <col min="3" max="3" width="11.125" style="1" bestFit="1" customWidth="1"/>
    <col min="4" max="4" width="13.25" style="1" bestFit="1" customWidth="1"/>
    <col min="5" max="5" width="14.125" style="1" bestFit="1" customWidth="1"/>
    <col min="6" max="8" width="13.75" style="1" bestFit="1" customWidth="1"/>
    <col min="9" max="16384" width="11" style="1"/>
  </cols>
  <sheetData>
    <row r="2" spans="2:8" s="9" customFormat="1" ht="21.75" customHeight="1"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8" t="s">
        <v>0</v>
      </c>
      <c r="H2" s="8" t="s">
        <v>1</v>
      </c>
    </row>
    <row r="3" spans="2:8">
      <c r="B3" s="3" t="s">
        <v>5</v>
      </c>
      <c r="C3" s="4" t="s">
        <v>4</v>
      </c>
      <c r="D3" s="5">
        <v>42221</v>
      </c>
      <c r="E3" s="6">
        <v>10782.1</v>
      </c>
      <c r="F3" s="7">
        <f>E3*655.957</f>
        <v>7072593.9697000002</v>
      </c>
      <c r="G3" s="7">
        <f>2357529+2357509+2357556</f>
        <v>7072594</v>
      </c>
      <c r="H3" s="7">
        <f>F3-G3</f>
        <v>-3.0299999751150608E-2</v>
      </c>
    </row>
    <row r="6" spans="2:8">
      <c r="D6" s="10"/>
      <c r="E6" s="11"/>
      <c r="F6" s="10"/>
    </row>
    <row r="7" spans="2:8">
      <c r="D7" s="10"/>
      <c r="E7" s="12"/>
      <c r="F7" s="10"/>
    </row>
    <row r="8" spans="2:8">
      <c r="D8" s="10"/>
      <c r="E8" s="10"/>
      <c r="F8" s="10"/>
    </row>
    <row r="9" spans="2:8">
      <c r="D9" s="10"/>
      <c r="E9" s="10"/>
      <c r="F9" s="10"/>
    </row>
    <row r="10" spans="2:8">
      <c r="D10" s="10"/>
      <c r="E10" s="10"/>
      <c r="F10" s="10"/>
    </row>
    <row r="11" spans="2:8">
      <c r="D11" s="10"/>
      <c r="E11" s="10"/>
      <c r="F11" s="1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6"/>
  <sheetViews>
    <sheetView workbookViewId="0">
      <selection activeCell="E3" sqref="E3"/>
    </sheetView>
  </sheetViews>
  <sheetFormatPr baseColWidth="10" defaultRowHeight="15.75"/>
  <cols>
    <col min="1" max="1" width="11" style="1"/>
    <col min="2" max="2" width="15.25" style="1" bestFit="1" customWidth="1"/>
    <col min="3" max="3" width="11.125" style="1" bestFit="1" customWidth="1"/>
    <col min="4" max="4" width="13.375" style="1" bestFit="1" customWidth="1"/>
    <col min="5" max="5" width="15.125" style="1" bestFit="1" customWidth="1"/>
    <col min="6" max="8" width="14.75" style="1" bestFit="1" customWidth="1"/>
    <col min="9" max="16384" width="11" style="1"/>
  </cols>
  <sheetData>
    <row r="2" spans="2:9"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8" t="s">
        <v>0</v>
      </c>
      <c r="H2" s="8" t="s">
        <v>1</v>
      </c>
      <c r="I2" s="9"/>
    </row>
    <row r="3" spans="2:9">
      <c r="B3" s="3" t="s">
        <v>5</v>
      </c>
      <c r="C3" s="4">
        <v>910704</v>
      </c>
      <c r="D3" s="5">
        <v>42241</v>
      </c>
      <c r="E3" s="6">
        <v>30592.84</v>
      </c>
      <c r="F3" s="7">
        <f>E3*655.957</f>
        <v>20067587.547880001</v>
      </c>
      <c r="G3" s="7">
        <f>6689201+13378387</f>
        <v>20067588</v>
      </c>
      <c r="H3" s="7">
        <f>F3-G3</f>
        <v>-0.45211999863386154</v>
      </c>
    </row>
    <row r="6" spans="2:9">
      <c r="E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1"/>
  <sheetViews>
    <sheetView topLeftCell="E1" workbookViewId="0">
      <selection activeCell="H11" sqref="H11"/>
    </sheetView>
  </sheetViews>
  <sheetFormatPr baseColWidth="10" defaultRowHeight="15.75"/>
  <cols>
    <col min="2" max="2" width="14.375" bestFit="1" customWidth="1"/>
    <col min="3" max="3" width="10.875" bestFit="1" customWidth="1"/>
    <col min="4" max="4" width="13.375" style="1" bestFit="1" customWidth="1"/>
    <col min="5" max="5" width="10.375" style="1" bestFit="1" customWidth="1"/>
    <col min="6" max="6" width="11.625" style="20" bestFit="1" customWidth="1"/>
    <col min="7" max="7" width="14.75" style="20" bestFit="1" customWidth="1"/>
    <col min="8" max="8" width="16.125" style="20" customWidth="1"/>
    <col min="9" max="9" width="14.75" style="20" bestFit="1" customWidth="1"/>
  </cols>
  <sheetData>
    <row r="2" spans="2:9" s="1" customFormat="1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</row>
    <row r="3" spans="2:9">
      <c r="B3" s="60" t="s">
        <v>44</v>
      </c>
      <c r="C3" s="4">
        <v>2018008877</v>
      </c>
      <c r="D3" s="5">
        <v>43262</v>
      </c>
      <c r="E3" s="5">
        <v>43322</v>
      </c>
      <c r="F3" s="21">
        <v>6962.72</v>
      </c>
      <c r="G3" s="18">
        <f>F3*655.957</f>
        <v>4567244.9230399998</v>
      </c>
      <c r="H3" s="18">
        <v>4567245</v>
      </c>
      <c r="I3" s="19">
        <f>G3-H3</f>
        <v>-7.6960000209510326E-2</v>
      </c>
    </row>
    <row r="4" spans="2:9">
      <c r="B4" s="61"/>
      <c r="C4" s="4">
        <v>2018008878</v>
      </c>
      <c r="D4" s="5">
        <v>43262</v>
      </c>
      <c r="E4" s="5">
        <v>43322</v>
      </c>
      <c r="F4" s="21">
        <v>8021.32</v>
      </c>
      <c r="G4" s="18">
        <f t="shared" ref="G4:G11" si="0">F4*655.957</f>
        <v>5261641.0032399995</v>
      </c>
      <c r="H4" s="18">
        <v>5261641</v>
      </c>
      <c r="I4" s="19">
        <f t="shared" ref="I4:I6" si="1">G4-H4</f>
        <v>3.2399995252490044E-3</v>
      </c>
    </row>
    <row r="5" spans="2:9" s="51" customFormat="1">
      <c r="B5" s="35" t="s">
        <v>49</v>
      </c>
      <c r="C5" s="17">
        <v>2018011324</v>
      </c>
      <c r="D5" s="36">
        <v>43300</v>
      </c>
      <c r="E5" s="36">
        <v>43451</v>
      </c>
      <c r="F5" s="22">
        <v>18065.189999999999</v>
      </c>
      <c r="G5" s="19">
        <f t="shared" si="0"/>
        <v>11849987.836829999</v>
      </c>
      <c r="H5" s="19">
        <v>11849988</v>
      </c>
      <c r="I5" s="19">
        <f t="shared" si="1"/>
        <v>-0.16317000053822994</v>
      </c>
    </row>
    <row r="6" spans="2:9">
      <c r="B6" s="35" t="s">
        <v>64</v>
      </c>
      <c r="C6" s="54">
        <v>2018020027</v>
      </c>
      <c r="D6" s="36">
        <v>43451</v>
      </c>
      <c r="E6" s="36">
        <v>43511</v>
      </c>
      <c r="F6" s="22">
        <v>16818.77</v>
      </c>
      <c r="G6" s="19">
        <f t="shared" si="0"/>
        <v>11032389.91289</v>
      </c>
      <c r="H6" s="19">
        <f>3677463+3677463+3677464</f>
        <v>11032390</v>
      </c>
      <c r="I6" s="19">
        <f t="shared" si="1"/>
        <v>-8.7109999731183052E-2</v>
      </c>
    </row>
    <row r="7" spans="2:9">
      <c r="B7" s="35" t="s">
        <v>113</v>
      </c>
      <c r="C7" s="26">
        <v>2019021927</v>
      </c>
      <c r="D7" s="5">
        <v>43818</v>
      </c>
      <c r="E7" s="5">
        <v>43878</v>
      </c>
      <c r="F7" s="22">
        <v>1503.65</v>
      </c>
      <c r="G7" s="19">
        <f t="shared" si="0"/>
        <v>986329.74305000005</v>
      </c>
      <c r="H7" s="19">
        <v>986330</v>
      </c>
      <c r="I7" s="18">
        <f>G7-H7</f>
        <v>-0.25694999995175749</v>
      </c>
    </row>
    <row r="8" spans="2:9">
      <c r="B8" s="35" t="s">
        <v>116</v>
      </c>
      <c r="C8" s="26">
        <v>2019021928</v>
      </c>
      <c r="D8" s="5">
        <v>43818</v>
      </c>
      <c r="E8" s="5">
        <v>43878</v>
      </c>
      <c r="F8" s="22">
        <v>1420.32</v>
      </c>
      <c r="G8" s="19">
        <f t="shared" si="0"/>
        <v>931668.84623999998</v>
      </c>
      <c r="H8" s="19">
        <v>931669</v>
      </c>
      <c r="I8" s="18">
        <f>G8-H8</f>
        <v>-0.15376000001560897</v>
      </c>
    </row>
    <row r="9" spans="2:9">
      <c r="B9" s="35" t="s">
        <v>114</v>
      </c>
      <c r="C9" s="26">
        <v>2019021929</v>
      </c>
      <c r="D9" s="5">
        <v>43818</v>
      </c>
      <c r="E9" s="5">
        <v>43878</v>
      </c>
      <c r="F9" s="22">
        <v>1523.19</v>
      </c>
      <c r="G9" s="19">
        <f t="shared" si="0"/>
        <v>999147.14283000003</v>
      </c>
      <c r="H9" s="19">
        <v>999147</v>
      </c>
      <c r="I9" s="18">
        <f>G9-H9</f>
        <v>0.14283000002615154</v>
      </c>
    </row>
    <row r="10" spans="2:9">
      <c r="B10" s="35" t="s">
        <v>120</v>
      </c>
      <c r="C10" s="26">
        <v>2020002910</v>
      </c>
      <c r="D10" s="5">
        <v>43882</v>
      </c>
      <c r="E10" s="5">
        <v>43942</v>
      </c>
      <c r="F10" s="22">
        <v>1242.77</v>
      </c>
      <c r="G10" s="19">
        <f t="shared" si="0"/>
        <v>815203.68088999996</v>
      </c>
      <c r="H10" s="53"/>
      <c r="I10" s="18">
        <f>G10-H10</f>
        <v>815203.68088999996</v>
      </c>
    </row>
    <row r="11" spans="2:9">
      <c r="B11" s="35" t="s">
        <v>119</v>
      </c>
      <c r="C11" s="26">
        <v>2020002911</v>
      </c>
      <c r="D11" s="5">
        <v>43882</v>
      </c>
      <c r="E11" s="5">
        <v>43942</v>
      </c>
      <c r="F11" s="22">
        <v>1504.82</v>
      </c>
      <c r="G11" s="19">
        <f t="shared" si="0"/>
        <v>987097.21273999999</v>
      </c>
      <c r="H11" s="53"/>
      <c r="I11" s="18">
        <f>G11-H11</f>
        <v>987097.21273999999</v>
      </c>
    </row>
  </sheetData>
  <mergeCells count="1">
    <mergeCell ref="B3: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5"/>
  <sheetViews>
    <sheetView workbookViewId="0">
      <selection activeCell="H3" sqref="H3"/>
    </sheetView>
  </sheetViews>
  <sheetFormatPr baseColWidth="10" defaultRowHeight="15.75"/>
  <cols>
    <col min="2" max="2" width="13.875" bestFit="1" customWidth="1"/>
    <col min="3" max="3" width="10.875" bestFit="1" customWidth="1"/>
    <col min="4" max="4" width="13.375" bestFit="1" customWidth="1"/>
    <col min="5" max="5" width="10.375" bestFit="1" customWidth="1"/>
    <col min="6" max="6" width="11.5" bestFit="1" customWidth="1"/>
    <col min="7" max="9" width="13.75" bestFit="1" customWidth="1"/>
  </cols>
  <sheetData>
    <row r="2" spans="2:9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</row>
    <row r="3" spans="2:9">
      <c r="B3" s="45" t="s">
        <v>43</v>
      </c>
      <c r="C3" s="4">
        <v>2018018036</v>
      </c>
      <c r="D3" s="5">
        <v>43241</v>
      </c>
      <c r="E3" s="5">
        <v>43301</v>
      </c>
      <c r="F3" s="6">
        <v>4940.26</v>
      </c>
      <c r="G3" s="7">
        <f>F3*655.957</f>
        <v>3240598.1288200002</v>
      </c>
      <c r="H3" s="7">
        <v>3240598</v>
      </c>
      <c r="I3" s="29">
        <f>G3-H3</f>
        <v>0.12882000021636486</v>
      </c>
    </row>
    <row r="4" spans="2:9">
      <c r="B4" s="35" t="s">
        <v>46</v>
      </c>
      <c r="C4" s="17">
        <v>2018031753</v>
      </c>
      <c r="D4" s="36">
        <v>43349</v>
      </c>
      <c r="E4" s="36">
        <v>43409</v>
      </c>
      <c r="F4" s="50">
        <v>772.58</v>
      </c>
      <c r="G4" s="29">
        <f t="shared" ref="G4:G5" si="0">F4*655.957</f>
        <v>506779.25906000001</v>
      </c>
      <c r="H4" s="29">
        <v>506779</v>
      </c>
      <c r="I4" s="29">
        <f t="shared" ref="I4:I5" si="1">G4-H4</f>
        <v>0.25906000001123175</v>
      </c>
    </row>
    <row r="5" spans="2:9">
      <c r="B5" s="35" t="s">
        <v>58</v>
      </c>
      <c r="C5" s="17">
        <v>2018038772</v>
      </c>
      <c r="D5" s="36">
        <v>43402</v>
      </c>
      <c r="E5" s="36">
        <v>43462</v>
      </c>
      <c r="F5" s="50">
        <v>6768.86</v>
      </c>
      <c r="G5" s="29">
        <f t="shared" si="0"/>
        <v>4440081.0990199996</v>
      </c>
      <c r="H5" s="29">
        <v>4440081</v>
      </c>
      <c r="I5" s="29">
        <f t="shared" si="1"/>
        <v>9.9019999615848064E-2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I5"/>
  <sheetViews>
    <sheetView workbookViewId="0">
      <selection activeCell="H5" sqref="H5"/>
    </sheetView>
  </sheetViews>
  <sheetFormatPr baseColWidth="10" defaultRowHeight="15.75"/>
  <cols>
    <col min="2" max="2" width="13.875" bestFit="1" customWidth="1"/>
    <col min="3" max="3" width="10.875" bestFit="1" customWidth="1"/>
    <col min="4" max="4" width="13.375" bestFit="1" customWidth="1"/>
    <col min="5" max="5" width="14.875" bestFit="1" customWidth="1"/>
    <col min="6" max="6" width="11.5" bestFit="1" customWidth="1"/>
    <col min="7" max="9" width="13.75" bestFit="1" customWidth="1"/>
  </cols>
  <sheetData>
    <row r="2" spans="2:9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</row>
    <row r="3" spans="2:9">
      <c r="B3" s="49" t="s">
        <v>60</v>
      </c>
      <c r="C3" s="4">
        <v>18126308</v>
      </c>
      <c r="D3" s="5">
        <v>43403</v>
      </c>
      <c r="E3" s="5" t="s">
        <v>57</v>
      </c>
      <c r="F3" s="6">
        <v>4972.3500000000004</v>
      </c>
      <c r="G3" s="7">
        <f>F3*655.957</f>
        <v>3261647.7889500004</v>
      </c>
      <c r="H3" s="7">
        <v>3261648</v>
      </c>
      <c r="I3" s="29">
        <f>G3-H3</f>
        <v>-0.21104999957606196</v>
      </c>
    </row>
    <row r="4" spans="2:9">
      <c r="B4" s="35" t="s">
        <v>82</v>
      </c>
      <c r="C4" s="17">
        <v>19113389</v>
      </c>
      <c r="D4" s="36">
        <v>43606</v>
      </c>
      <c r="E4" s="36">
        <v>43637</v>
      </c>
      <c r="F4" s="50">
        <v>9352.92</v>
      </c>
      <c r="G4" s="29">
        <f>F4*655.957</f>
        <v>6135113.3444400001</v>
      </c>
      <c r="H4" s="29">
        <f>3067557+3067556</f>
        <v>6135113</v>
      </c>
      <c r="I4" s="29">
        <f>G4-H4</f>
        <v>0.34444000013172626</v>
      </c>
    </row>
    <row r="5" spans="2:9">
      <c r="B5" s="47"/>
      <c r="C5" s="4"/>
      <c r="D5" s="5"/>
      <c r="E5" s="5"/>
      <c r="F5" s="6"/>
      <c r="G5" s="7"/>
      <c r="H5" s="7"/>
      <c r="I5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I8"/>
  <sheetViews>
    <sheetView workbookViewId="0">
      <selection activeCell="I6" sqref="I6:I8"/>
    </sheetView>
  </sheetViews>
  <sheetFormatPr baseColWidth="10" defaultRowHeight="15.75"/>
  <cols>
    <col min="2" max="2" width="14.125" bestFit="1" customWidth="1"/>
    <col min="3" max="3" width="10.875" bestFit="1" customWidth="1"/>
    <col min="4" max="4" width="13.375" bestFit="1" customWidth="1"/>
    <col min="5" max="5" width="11.75" bestFit="1" customWidth="1"/>
    <col min="6" max="6" width="11.625" bestFit="1" customWidth="1"/>
    <col min="7" max="7" width="15.125" bestFit="1" customWidth="1"/>
    <col min="8" max="8" width="15" customWidth="1"/>
    <col min="9" max="9" width="14.75" bestFit="1" customWidth="1"/>
  </cols>
  <sheetData>
    <row r="2" spans="2:9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</row>
    <row r="3" spans="2:9">
      <c r="B3" s="35" t="s">
        <v>65</v>
      </c>
      <c r="C3" s="17" t="s">
        <v>69</v>
      </c>
      <c r="D3" s="36">
        <v>43434</v>
      </c>
      <c r="E3" s="36" t="s">
        <v>70</v>
      </c>
      <c r="F3" s="50">
        <v>10735.62</v>
      </c>
      <c r="G3" s="29">
        <f t="shared" ref="G3:G8" si="0">F3*655.957</f>
        <v>7042105.0883400002</v>
      </c>
      <c r="H3" s="29">
        <v>7042105</v>
      </c>
      <c r="I3" s="29">
        <f t="shared" ref="I3:I8" si="1">G3-H3</f>
        <v>8.8340000249445438E-2</v>
      </c>
    </row>
    <row r="4" spans="2:9">
      <c r="B4" s="52" t="s">
        <v>74</v>
      </c>
      <c r="C4" s="4" t="s">
        <v>75</v>
      </c>
      <c r="D4" s="5">
        <v>43551</v>
      </c>
      <c r="E4" s="5">
        <v>43611</v>
      </c>
      <c r="F4" s="6">
        <v>312.17</v>
      </c>
      <c r="G4" s="7">
        <f t="shared" si="0"/>
        <v>204770.09669000001</v>
      </c>
      <c r="H4" s="7">
        <v>204770</v>
      </c>
      <c r="I4" s="29">
        <f t="shared" si="1"/>
        <v>9.6690000005764887E-2</v>
      </c>
    </row>
    <row r="5" spans="2:9">
      <c r="B5" s="52" t="s">
        <v>76</v>
      </c>
      <c r="C5" s="4" t="s">
        <v>77</v>
      </c>
      <c r="D5" s="5">
        <v>43543</v>
      </c>
      <c r="E5" s="5">
        <v>43603</v>
      </c>
      <c r="F5" s="6">
        <v>20670.689999999999</v>
      </c>
      <c r="G5" s="7">
        <f t="shared" si="0"/>
        <v>13559083.800329998</v>
      </c>
      <c r="H5" s="7">
        <f>5423636+5423636+2711812</f>
        <v>13559084</v>
      </c>
      <c r="I5" s="29">
        <f t="shared" si="1"/>
        <v>-0.19967000186443329</v>
      </c>
    </row>
    <row r="6" spans="2:9">
      <c r="B6" s="56" t="s">
        <v>104</v>
      </c>
      <c r="C6" s="4" t="s">
        <v>111</v>
      </c>
      <c r="D6" s="57">
        <v>43753</v>
      </c>
      <c r="E6" s="5">
        <v>43813</v>
      </c>
      <c r="F6" s="6">
        <v>3528.16</v>
      </c>
      <c r="G6" s="7">
        <f t="shared" si="0"/>
        <v>2314321.2491199998</v>
      </c>
      <c r="H6" s="26"/>
      <c r="I6" s="39">
        <f t="shared" si="1"/>
        <v>2314321.2491199998</v>
      </c>
    </row>
    <row r="7" spans="2:9">
      <c r="B7" s="56" t="s">
        <v>105</v>
      </c>
      <c r="C7" s="4" t="s">
        <v>106</v>
      </c>
      <c r="D7" s="57">
        <v>43738</v>
      </c>
      <c r="E7" s="5">
        <v>43890</v>
      </c>
      <c r="F7" s="6">
        <v>20357.68</v>
      </c>
      <c r="G7" s="7">
        <f t="shared" si="0"/>
        <v>13353762.699759999</v>
      </c>
      <c r="H7" s="7">
        <v>13353763</v>
      </c>
      <c r="I7" s="48">
        <f t="shared" si="1"/>
        <v>-0.30024000070989132</v>
      </c>
    </row>
    <row r="8" spans="2:9">
      <c r="B8" s="35" t="s">
        <v>122</v>
      </c>
      <c r="C8" s="17" t="s">
        <v>123</v>
      </c>
      <c r="D8" s="5">
        <v>43902</v>
      </c>
      <c r="E8" s="5">
        <v>43962</v>
      </c>
      <c r="F8" s="50">
        <v>226.79</v>
      </c>
      <c r="G8" s="29">
        <f t="shared" si="0"/>
        <v>148764.48803000001</v>
      </c>
      <c r="H8" s="26"/>
      <c r="I8" s="39">
        <f t="shared" si="1"/>
        <v>148764.48803000001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42"/>
  <sheetViews>
    <sheetView topLeftCell="A25" workbookViewId="0">
      <selection activeCell="G3" sqref="G3:G42"/>
    </sheetView>
  </sheetViews>
  <sheetFormatPr baseColWidth="10" defaultRowHeight="15.75"/>
  <cols>
    <col min="1" max="1" width="11" style="1"/>
    <col min="2" max="2" width="17.625" customWidth="1"/>
    <col min="3" max="3" width="14.125" style="1" customWidth="1"/>
    <col min="4" max="4" width="14.625" style="1" bestFit="1" customWidth="1"/>
    <col min="5" max="6" width="12.875" style="1" customWidth="1"/>
    <col min="7" max="7" width="14" customWidth="1"/>
    <col min="8" max="8" width="13.875" customWidth="1"/>
    <col min="9" max="9" width="14.375" customWidth="1"/>
  </cols>
  <sheetData>
    <row r="2" spans="1:9">
      <c r="B2" s="8" t="s">
        <v>6</v>
      </c>
      <c r="C2" s="8" t="s">
        <v>16</v>
      </c>
      <c r="D2" s="8" t="s">
        <v>7</v>
      </c>
      <c r="E2" s="8" t="s">
        <v>8</v>
      </c>
      <c r="F2" s="8" t="s">
        <v>25</v>
      </c>
      <c r="G2" s="8" t="s">
        <v>10</v>
      </c>
      <c r="H2" s="8" t="s">
        <v>0</v>
      </c>
      <c r="I2" s="8" t="s">
        <v>1</v>
      </c>
    </row>
    <row r="3" spans="1:9">
      <c r="A3" s="71" t="s">
        <v>18</v>
      </c>
      <c r="B3" s="60" t="s">
        <v>15</v>
      </c>
      <c r="C3" s="15" t="s">
        <v>11</v>
      </c>
      <c r="D3" s="4">
        <v>21614380</v>
      </c>
      <c r="E3" s="5">
        <v>42731</v>
      </c>
      <c r="F3" s="5">
        <f>E3+60</f>
        <v>42791</v>
      </c>
      <c r="G3" s="7">
        <v>318795</v>
      </c>
      <c r="H3" s="7">
        <v>318795</v>
      </c>
      <c r="I3" s="7">
        <f>G3-H3</f>
        <v>0</v>
      </c>
    </row>
    <row r="4" spans="1:9">
      <c r="A4" s="71"/>
      <c r="B4" s="61"/>
      <c r="C4" s="15" t="s">
        <v>2</v>
      </c>
      <c r="D4" s="4">
        <v>21614366</v>
      </c>
      <c r="E4" s="5">
        <v>42731</v>
      </c>
      <c r="F4" s="5">
        <f t="shared" ref="F4:F11" si="0">E4+60</f>
        <v>42791</v>
      </c>
      <c r="G4" s="7">
        <v>187604</v>
      </c>
      <c r="H4" s="7">
        <v>187604</v>
      </c>
      <c r="I4" s="7">
        <f t="shared" ref="I4:I26" si="1">G4-H4</f>
        <v>0</v>
      </c>
    </row>
    <row r="5" spans="1:9">
      <c r="A5" s="1" t="s">
        <v>18</v>
      </c>
      <c r="B5" s="24" t="s">
        <v>19</v>
      </c>
      <c r="C5" s="15" t="s">
        <v>3</v>
      </c>
      <c r="D5" s="4">
        <v>21702821</v>
      </c>
      <c r="E5" s="5">
        <v>42807</v>
      </c>
      <c r="F5" s="5">
        <f t="shared" si="0"/>
        <v>42867</v>
      </c>
      <c r="G5" s="7">
        <f>1156*655.957</f>
        <v>758286.29200000002</v>
      </c>
      <c r="H5" s="7">
        <v>758286</v>
      </c>
      <c r="I5" s="7">
        <f t="shared" si="1"/>
        <v>0.29200000001583248</v>
      </c>
    </row>
    <row r="6" spans="1:9">
      <c r="A6" s="1" t="s">
        <v>18</v>
      </c>
      <c r="B6" s="28" t="s">
        <v>22</v>
      </c>
      <c r="C6" s="15" t="s">
        <v>11</v>
      </c>
      <c r="D6" s="4">
        <v>21704370</v>
      </c>
      <c r="E6" s="5">
        <v>42855</v>
      </c>
      <c r="F6" s="5">
        <f t="shared" si="0"/>
        <v>42915</v>
      </c>
      <c r="G6" s="7">
        <f>1260*655.957</f>
        <v>826505.82</v>
      </c>
      <c r="H6" s="7">
        <v>826506</v>
      </c>
      <c r="I6" s="7">
        <f t="shared" si="1"/>
        <v>-0.18000000005122274</v>
      </c>
    </row>
    <row r="7" spans="1:9">
      <c r="A7" s="1" t="s">
        <v>18</v>
      </c>
      <c r="B7" s="30" t="s">
        <v>23</v>
      </c>
      <c r="C7" s="27" t="s">
        <v>2</v>
      </c>
      <c r="D7" s="4">
        <v>21704743</v>
      </c>
      <c r="E7" s="5">
        <v>42870</v>
      </c>
      <c r="F7" s="5">
        <f t="shared" si="0"/>
        <v>42930</v>
      </c>
      <c r="G7" s="7">
        <f>320*655.957</f>
        <v>209906.24</v>
      </c>
      <c r="H7" s="7">
        <v>209906</v>
      </c>
      <c r="I7" s="7">
        <f t="shared" si="1"/>
        <v>0.23999999999068677</v>
      </c>
    </row>
    <row r="8" spans="1:9">
      <c r="A8" s="1" t="s">
        <v>18</v>
      </c>
      <c r="B8" s="28" t="s">
        <v>21</v>
      </c>
      <c r="C8" s="27" t="s">
        <v>3</v>
      </c>
      <c r="D8" s="4">
        <v>21704326</v>
      </c>
      <c r="E8" s="5">
        <v>42842</v>
      </c>
      <c r="F8" s="5">
        <f t="shared" si="0"/>
        <v>42902</v>
      </c>
      <c r="G8" s="7">
        <f>529*655.957</f>
        <v>347001.25299999997</v>
      </c>
      <c r="H8" s="7">
        <v>347001</v>
      </c>
      <c r="I8" s="7">
        <f t="shared" si="1"/>
        <v>0.25299999996786937</v>
      </c>
    </row>
    <row r="9" spans="1:9">
      <c r="A9" s="1" t="s">
        <v>18</v>
      </c>
      <c r="B9" s="31" t="s">
        <v>26</v>
      </c>
      <c r="C9" s="4" t="s">
        <v>3</v>
      </c>
      <c r="D9" s="4">
        <v>21706301</v>
      </c>
      <c r="E9" s="5">
        <v>42906</v>
      </c>
      <c r="F9" s="5">
        <f t="shared" si="0"/>
        <v>42966</v>
      </c>
      <c r="G9" s="7">
        <f>676.08*655.957</f>
        <v>443479.40856000001</v>
      </c>
      <c r="H9" s="7">
        <v>443479</v>
      </c>
      <c r="I9" s="29">
        <f>G9-H9</f>
        <v>0.40856000001076609</v>
      </c>
    </row>
    <row r="10" spans="1:9">
      <c r="A10" s="1" t="s">
        <v>18</v>
      </c>
      <c r="B10" s="32" t="s">
        <v>27</v>
      </c>
      <c r="C10" s="27" t="s">
        <v>2</v>
      </c>
      <c r="D10" s="4">
        <v>21707206</v>
      </c>
      <c r="E10" s="5">
        <v>42926</v>
      </c>
      <c r="F10" s="5">
        <f t="shared" si="0"/>
        <v>42986</v>
      </c>
      <c r="G10" s="7">
        <v>234964</v>
      </c>
      <c r="H10" s="7">
        <v>234964</v>
      </c>
      <c r="I10" s="29">
        <f t="shared" si="1"/>
        <v>0</v>
      </c>
    </row>
    <row r="11" spans="1:9">
      <c r="A11" s="1" t="s">
        <v>18</v>
      </c>
      <c r="B11" s="40" t="s">
        <v>28</v>
      </c>
      <c r="C11" s="27" t="s">
        <v>11</v>
      </c>
      <c r="D11" s="4">
        <v>21709557</v>
      </c>
      <c r="E11" s="5">
        <v>42998</v>
      </c>
      <c r="F11" s="5">
        <f t="shared" si="0"/>
        <v>43058</v>
      </c>
      <c r="G11" s="7">
        <v>1616278</v>
      </c>
      <c r="H11" s="7">
        <v>1616278</v>
      </c>
      <c r="I11" s="29">
        <f>G11-H11</f>
        <v>0</v>
      </c>
    </row>
    <row r="12" spans="1:9">
      <c r="A12" s="1" t="s">
        <v>18</v>
      </c>
      <c r="B12" s="35" t="s">
        <v>29</v>
      </c>
      <c r="C12" s="4" t="s">
        <v>2</v>
      </c>
      <c r="D12" s="72">
        <v>21710291</v>
      </c>
      <c r="E12" s="74">
        <v>43024</v>
      </c>
      <c r="F12" s="74">
        <v>43085</v>
      </c>
      <c r="G12" s="67">
        <v>1180723</v>
      </c>
      <c r="H12" s="67">
        <f>590361+590362</f>
        <v>1180723</v>
      </c>
      <c r="I12" s="69">
        <f>G12-H12</f>
        <v>0</v>
      </c>
    </row>
    <row r="13" spans="1:9">
      <c r="A13" s="1" t="s">
        <v>18</v>
      </c>
      <c r="B13" s="35" t="s">
        <v>30</v>
      </c>
      <c r="C13" s="4" t="s">
        <v>3</v>
      </c>
      <c r="D13" s="73"/>
      <c r="E13" s="73"/>
      <c r="F13" s="75"/>
      <c r="G13" s="68"/>
      <c r="H13" s="68"/>
      <c r="I13" s="70"/>
    </row>
    <row r="14" spans="1:9">
      <c r="A14" s="1" t="s">
        <v>18</v>
      </c>
      <c r="B14" s="42" t="s">
        <v>32</v>
      </c>
      <c r="C14" s="4" t="s">
        <v>2</v>
      </c>
      <c r="D14" s="4">
        <v>21711747</v>
      </c>
      <c r="E14" s="5">
        <v>43059</v>
      </c>
      <c r="F14" s="5">
        <v>43120</v>
      </c>
      <c r="G14" s="7">
        <v>184960</v>
      </c>
      <c r="H14" s="7">
        <v>184960</v>
      </c>
      <c r="I14" s="29">
        <f t="shared" si="1"/>
        <v>0</v>
      </c>
    </row>
    <row r="15" spans="1:9">
      <c r="A15" s="1" t="s">
        <v>18</v>
      </c>
      <c r="B15" s="35" t="s">
        <v>33</v>
      </c>
      <c r="C15" s="4" t="s">
        <v>3</v>
      </c>
      <c r="D15" s="4">
        <v>21712729</v>
      </c>
      <c r="E15" s="5">
        <v>43088</v>
      </c>
      <c r="F15" s="5">
        <v>43150</v>
      </c>
      <c r="G15" s="7">
        <v>866650</v>
      </c>
      <c r="H15" s="7">
        <v>866650</v>
      </c>
      <c r="I15" s="29">
        <f t="shared" si="1"/>
        <v>0</v>
      </c>
    </row>
    <row r="16" spans="1:9">
      <c r="A16" s="1" t="s">
        <v>18</v>
      </c>
      <c r="B16" s="35" t="s">
        <v>35</v>
      </c>
      <c r="C16" s="4" t="s">
        <v>3</v>
      </c>
      <c r="D16" s="4">
        <v>21803251</v>
      </c>
      <c r="E16" s="5">
        <v>43200</v>
      </c>
      <c r="F16" s="5">
        <v>43261</v>
      </c>
      <c r="G16" s="7">
        <v>647449</v>
      </c>
      <c r="H16" s="7">
        <v>647449</v>
      </c>
      <c r="I16" s="29">
        <f t="shared" si="1"/>
        <v>0</v>
      </c>
    </row>
    <row r="17" spans="1:9">
      <c r="A17" s="76" t="s">
        <v>38</v>
      </c>
      <c r="B17" s="35" t="s">
        <v>43</v>
      </c>
      <c r="C17" s="17" t="s">
        <v>37</v>
      </c>
      <c r="D17" s="77" t="s">
        <v>42</v>
      </c>
      <c r="E17" s="65">
        <v>43280</v>
      </c>
      <c r="F17" s="65">
        <v>43308</v>
      </c>
      <c r="G17" s="69">
        <f>1169.27*655.957</f>
        <v>766990.84138999996</v>
      </c>
      <c r="H17" s="69">
        <v>766991</v>
      </c>
      <c r="I17" s="69">
        <f t="shared" si="1"/>
        <v>-0.15861000004224479</v>
      </c>
    </row>
    <row r="18" spans="1:9">
      <c r="A18" s="76"/>
      <c r="B18" s="35" t="s">
        <v>44</v>
      </c>
      <c r="C18" s="17" t="s">
        <v>41</v>
      </c>
      <c r="D18" s="78"/>
      <c r="E18" s="78"/>
      <c r="F18" s="78"/>
      <c r="G18" s="70"/>
      <c r="H18" s="70"/>
      <c r="I18" s="70"/>
    </row>
    <row r="19" spans="1:9">
      <c r="A19" s="43" t="s">
        <v>50</v>
      </c>
      <c r="B19" s="35" t="s">
        <v>49</v>
      </c>
      <c r="C19" s="17" t="s">
        <v>41</v>
      </c>
      <c r="D19" s="17" t="s">
        <v>55</v>
      </c>
      <c r="E19" s="36">
        <v>43383</v>
      </c>
      <c r="F19" s="36">
        <v>43413</v>
      </c>
      <c r="G19" s="29">
        <v>486720</v>
      </c>
      <c r="H19" s="7">
        <v>486720</v>
      </c>
      <c r="I19" s="29">
        <f t="shared" si="1"/>
        <v>0</v>
      </c>
    </row>
    <row r="20" spans="1:9">
      <c r="A20" s="1" t="s">
        <v>18</v>
      </c>
      <c r="B20" s="35" t="s">
        <v>56</v>
      </c>
      <c r="C20" s="4" t="s">
        <v>3</v>
      </c>
      <c r="D20" s="4">
        <v>21810199</v>
      </c>
      <c r="E20" s="5">
        <v>43402</v>
      </c>
      <c r="F20" s="5">
        <v>43463</v>
      </c>
      <c r="G20" s="7">
        <f>915*655.957</f>
        <v>600200.65500000003</v>
      </c>
      <c r="H20" s="7">
        <v>600201</v>
      </c>
      <c r="I20" s="29">
        <f t="shared" si="1"/>
        <v>-0.34499999997206032</v>
      </c>
    </row>
    <row r="21" spans="1:9">
      <c r="A21" s="43" t="s">
        <v>52</v>
      </c>
      <c r="B21" s="35" t="s">
        <v>58</v>
      </c>
      <c r="C21" s="17" t="s">
        <v>37</v>
      </c>
      <c r="D21" s="17">
        <v>1817200893</v>
      </c>
      <c r="E21" s="36">
        <v>43434</v>
      </c>
      <c r="F21" s="36">
        <v>43496</v>
      </c>
      <c r="G21" s="29">
        <v>278397</v>
      </c>
      <c r="H21" s="7">
        <v>278397</v>
      </c>
      <c r="I21" s="29">
        <f t="shared" si="1"/>
        <v>0</v>
      </c>
    </row>
    <row r="22" spans="1:9">
      <c r="A22" s="1" t="s">
        <v>38</v>
      </c>
      <c r="B22" s="35" t="s">
        <v>60</v>
      </c>
      <c r="C22" s="4" t="s">
        <v>54</v>
      </c>
      <c r="D22" s="4" t="s">
        <v>61</v>
      </c>
      <c r="E22" s="5">
        <v>43424</v>
      </c>
      <c r="F22" s="5">
        <v>43449</v>
      </c>
      <c r="G22" s="7">
        <f>250.5*655.957</f>
        <v>164317.2285</v>
      </c>
      <c r="H22" s="7">
        <v>164317</v>
      </c>
      <c r="I22" s="29">
        <f t="shared" si="1"/>
        <v>0.22849999999743886</v>
      </c>
    </row>
    <row r="23" spans="1:9">
      <c r="A23" s="43" t="s">
        <v>52</v>
      </c>
      <c r="B23" s="35" t="s">
        <v>64</v>
      </c>
      <c r="C23" s="17" t="s">
        <v>41</v>
      </c>
      <c r="D23" s="17">
        <v>1917200074</v>
      </c>
      <c r="E23" s="36">
        <v>43486</v>
      </c>
      <c r="F23" s="36">
        <v>43516</v>
      </c>
      <c r="G23" s="29">
        <v>509999</v>
      </c>
      <c r="H23" s="29">
        <v>509999</v>
      </c>
      <c r="I23" s="29">
        <f t="shared" si="1"/>
        <v>0</v>
      </c>
    </row>
    <row r="24" spans="1:9">
      <c r="A24" s="43" t="s">
        <v>50</v>
      </c>
      <c r="B24" s="35" t="s">
        <v>67</v>
      </c>
      <c r="C24" s="17" t="s">
        <v>3</v>
      </c>
      <c r="D24" s="17" t="s">
        <v>68</v>
      </c>
      <c r="E24" s="36">
        <v>43461</v>
      </c>
      <c r="F24" s="36">
        <v>43491</v>
      </c>
      <c r="G24" s="29">
        <f>153*655.957</f>
        <v>100361.421</v>
      </c>
      <c r="H24" s="7">
        <v>100361</v>
      </c>
      <c r="I24" s="29">
        <f>G24-H24</f>
        <v>0.42100000000209548</v>
      </c>
    </row>
    <row r="25" spans="1:9">
      <c r="A25" s="1" t="s">
        <v>18</v>
      </c>
      <c r="B25" s="35" t="s">
        <v>76</v>
      </c>
      <c r="C25" s="4" t="s">
        <v>62</v>
      </c>
      <c r="D25" s="4">
        <v>21902712</v>
      </c>
      <c r="E25" s="5">
        <v>43555</v>
      </c>
      <c r="F25" s="5">
        <v>43616</v>
      </c>
      <c r="G25" s="7">
        <v>599715</v>
      </c>
      <c r="H25" s="29">
        <v>599715</v>
      </c>
      <c r="I25" s="29">
        <f t="shared" si="1"/>
        <v>0</v>
      </c>
    </row>
    <row r="26" spans="1:9">
      <c r="A26" s="1" t="s">
        <v>38</v>
      </c>
      <c r="B26" s="35" t="s">
        <v>82</v>
      </c>
      <c r="C26" s="4" t="s">
        <v>54</v>
      </c>
      <c r="D26" s="4" t="s">
        <v>83</v>
      </c>
      <c r="E26" s="5">
        <v>43651</v>
      </c>
      <c r="F26" s="5">
        <v>43679</v>
      </c>
      <c r="G26" s="7">
        <f>159.5*655.957</f>
        <v>104625.1415</v>
      </c>
      <c r="H26" s="29">
        <v>104625</v>
      </c>
      <c r="I26" s="29">
        <f t="shared" si="1"/>
        <v>0.14149999999790452</v>
      </c>
    </row>
    <row r="27" spans="1:9">
      <c r="A27" s="1" t="s">
        <v>81</v>
      </c>
      <c r="B27" s="35" t="s">
        <v>86</v>
      </c>
      <c r="C27" s="4" t="s">
        <v>3</v>
      </c>
      <c r="D27" s="4">
        <v>1485</v>
      </c>
      <c r="E27" s="5">
        <v>43664</v>
      </c>
      <c r="F27" s="5">
        <v>43695</v>
      </c>
      <c r="G27" s="7">
        <v>358099</v>
      </c>
      <c r="H27" s="29">
        <v>358099</v>
      </c>
      <c r="I27" s="39">
        <f t="shared" ref="I27:I32" si="2">G27-H27</f>
        <v>0</v>
      </c>
    </row>
    <row r="28" spans="1:9">
      <c r="A28" s="1" t="s">
        <v>80</v>
      </c>
      <c r="B28" s="35" t="s">
        <v>84</v>
      </c>
      <c r="C28" s="4" t="s">
        <v>3</v>
      </c>
      <c r="D28" s="4">
        <v>7623897</v>
      </c>
      <c r="E28" s="5">
        <v>43661</v>
      </c>
      <c r="F28" s="5">
        <v>43692</v>
      </c>
      <c r="G28" s="7">
        <f>681*655.957</f>
        <v>446706.717</v>
      </c>
      <c r="H28" s="29">
        <v>446707</v>
      </c>
      <c r="I28" s="39">
        <f t="shared" si="2"/>
        <v>-0.28299999999580905</v>
      </c>
    </row>
    <row r="29" spans="1:9">
      <c r="A29" s="1" t="s">
        <v>85</v>
      </c>
      <c r="B29" s="35" t="s">
        <v>89</v>
      </c>
      <c r="C29" s="4" t="s">
        <v>3</v>
      </c>
      <c r="D29" s="4" t="s">
        <v>88</v>
      </c>
      <c r="E29" s="5">
        <v>43671</v>
      </c>
      <c r="F29" s="5">
        <v>43702</v>
      </c>
      <c r="G29" s="7">
        <v>78714</v>
      </c>
      <c r="H29" s="29">
        <v>78714</v>
      </c>
      <c r="I29" s="29">
        <f t="shared" si="2"/>
        <v>0</v>
      </c>
    </row>
    <row r="30" spans="1:9">
      <c r="A30" s="1" t="s">
        <v>18</v>
      </c>
      <c r="B30" s="35" t="s">
        <v>87</v>
      </c>
      <c r="C30" s="4" t="s">
        <v>3</v>
      </c>
      <c r="D30" s="4">
        <v>21906475</v>
      </c>
      <c r="E30" s="5">
        <v>43665</v>
      </c>
      <c r="F30" s="5">
        <v>43727</v>
      </c>
      <c r="G30" s="7">
        <v>78715</v>
      </c>
      <c r="H30" s="29">
        <v>78715</v>
      </c>
      <c r="I30" s="39">
        <f t="shared" si="2"/>
        <v>0</v>
      </c>
    </row>
    <row r="31" spans="1:9">
      <c r="A31" s="1" t="s">
        <v>18</v>
      </c>
      <c r="B31" s="35" t="s">
        <v>91</v>
      </c>
      <c r="C31" s="4" t="s">
        <v>3</v>
      </c>
      <c r="D31" s="4">
        <v>21907066</v>
      </c>
      <c r="E31" s="5">
        <v>43686</v>
      </c>
      <c r="F31" s="5">
        <v>43747</v>
      </c>
      <c r="G31" s="7">
        <f>160*655.957</f>
        <v>104953.12</v>
      </c>
      <c r="H31" s="26"/>
      <c r="I31" s="48">
        <f t="shared" si="2"/>
        <v>104953.12</v>
      </c>
    </row>
    <row r="32" spans="1:9">
      <c r="A32" s="1" t="s">
        <v>38</v>
      </c>
      <c r="B32" s="35" t="s">
        <v>92</v>
      </c>
      <c r="C32" s="4" t="s">
        <v>3</v>
      </c>
      <c r="D32" s="4" t="s">
        <v>90</v>
      </c>
      <c r="E32" s="5">
        <v>43676</v>
      </c>
      <c r="F32" s="5">
        <v>43707</v>
      </c>
      <c r="G32" s="7">
        <f>183*655.957</f>
        <v>120040.13099999999</v>
      </c>
      <c r="H32" s="7">
        <v>120040</v>
      </c>
      <c r="I32" s="39">
        <f t="shared" si="2"/>
        <v>0.1309999999939464</v>
      </c>
    </row>
    <row r="33" spans="1:9">
      <c r="A33" s="1" t="s">
        <v>81</v>
      </c>
      <c r="B33" s="35" t="s">
        <v>93</v>
      </c>
      <c r="C33" s="4" t="s">
        <v>3</v>
      </c>
      <c r="D33" s="4">
        <v>2067</v>
      </c>
      <c r="E33" s="5">
        <v>43690</v>
      </c>
      <c r="F33" s="5">
        <v>43690</v>
      </c>
      <c r="G33" s="7">
        <f>177*655.957</f>
        <v>116104.389</v>
      </c>
      <c r="H33" s="7">
        <v>116104</v>
      </c>
      <c r="I33" s="39">
        <f t="shared" ref="I33:I40" si="3">G33-H33</f>
        <v>0.38899999999557622</v>
      </c>
    </row>
    <row r="34" spans="1:9">
      <c r="A34" s="1" t="s">
        <v>80</v>
      </c>
      <c r="B34" s="35" t="s">
        <v>94</v>
      </c>
      <c r="C34" s="4" t="s">
        <v>3</v>
      </c>
      <c r="D34" s="4">
        <v>7624811</v>
      </c>
      <c r="E34" s="5">
        <v>43678</v>
      </c>
      <c r="F34" s="5">
        <v>43708</v>
      </c>
      <c r="G34" s="7">
        <f>130*655.957</f>
        <v>85274.41</v>
      </c>
      <c r="H34" s="7">
        <v>85274</v>
      </c>
      <c r="I34" s="39">
        <f t="shared" si="3"/>
        <v>0.41000000000349246</v>
      </c>
    </row>
    <row r="35" spans="1:9">
      <c r="A35" s="1" t="s">
        <v>85</v>
      </c>
      <c r="B35" s="35" t="s">
        <v>96</v>
      </c>
      <c r="C35" s="4" t="s">
        <v>3</v>
      </c>
      <c r="D35" s="4" t="s">
        <v>97</v>
      </c>
      <c r="E35" s="5">
        <v>43693</v>
      </c>
      <c r="F35" s="5">
        <v>43724</v>
      </c>
      <c r="G35" s="7">
        <f>133*655.957</f>
        <v>87242.281000000003</v>
      </c>
      <c r="H35" s="7">
        <v>87242</v>
      </c>
      <c r="I35" s="39">
        <f t="shared" si="3"/>
        <v>0.28100000000267755</v>
      </c>
    </row>
    <row r="36" spans="1:9">
      <c r="A36" s="1" t="s">
        <v>85</v>
      </c>
      <c r="B36" s="35" t="s">
        <v>104</v>
      </c>
      <c r="C36" s="4" t="s">
        <v>62</v>
      </c>
      <c r="D36" s="4" t="s">
        <v>108</v>
      </c>
      <c r="E36" s="5">
        <v>43780</v>
      </c>
      <c r="F36" s="5">
        <v>43780</v>
      </c>
      <c r="G36" s="7">
        <v>839625</v>
      </c>
      <c r="H36" s="7">
        <v>839625</v>
      </c>
      <c r="I36" s="48">
        <f t="shared" si="3"/>
        <v>0</v>
      </c>
    </row>
    <row r="37" spans="1:9">
      <c r="A37" s="1" t="s">
        <v>18</v>
      </c>
      <c r="B37" s="35" t="s">
        <v>107</v>
      </c>
      <c r="C37" s="4" t="s">
        <v>62</v>
      </c>
      <c r="D37" s="4">
        <v>21909763</v>
      </c>
      <c r="E37" s="5">
        <v>43767</v>
      </c>
      <c r="F37" s="5">
        <v>43828</v>
      </c>
      <c r="G37" s="7">
        <f>438.78*655.957</f>
        <v>287820.81245999999</v>
      </c>
      <c r="H37" s="26"/>
      <c r="I37" s="48">
        <f t="shared" si="3"/>
        <v>287820.81245999999</v>
      </c>
    </row>
    <row r="38" spans="1:9">
      <c r="A38" s="1" t="s">
        <v>112</v>
      </c>
      <c r="B38" s="35" t="s">
        <v>113</v>
      </c>
      <c r="C38" s="4" t="s">
        <v>41</v>
      </c>
      <c r="D38" s="4" t="s">
        <v>115</v>
      </c>
      <c r="E38" s="5">
        <v>43848</v>
      </c>
      <c r="F38" s="5">
        <v>43878</v>
      </c>
      <c r="G38" s="7">
        <f>169*655.957</f>
        <v>110856.73299999999</v>
      </c>
      <c r="H38" s="26"/>
      <c r="I38" s="39">
        <f t="shared" si="3"/>
        <v>110856.73299999999</v>
      </c>
    </row>
    <row r="39" spans="1:9">
      <c r="A39" s="1" t="s">
        <v>81</v>
      </c>
      <c r="B39" s="35" t="s">
        <v>116</v>
      </c>
      <c r="C39" s="4" t="s">
        <v>41</v>
      </c>
      <c r="D39" s="4">
        <v>64</v>
      </c>
      <c r="E39" s="5">
        <v>43879</v>
      </c>
      <c r="F39" s="5">
        <v>43908</v>
      </c>
      <c r="G39" s="7">
        <v>165301</v>
      </c>
      <c r="H39" s="26"/>
      <c r="I39" s="39">
        <f t="shared" si="3"/>
        <v>165301</v>
      </c>
    </row>
    <row r="40" spans="1:9">
      <c r="A40" s="1" t="s">
        <v>80</v>
      </c>
      <c r="B40" s="35" t="s">
        <v>114</v>
      </c>
      <c r="C40" s="4" t="s">
        <v>41</v>
      </c>
      <c r="D40" s="4">
        <v>7631884</v>
      </c>
      <c r="E40" s="5">
        <v>43843</v>
      </c>
      <c r="F40" s="5">
        <v>43874</v>
      </c>
      <c r="G40" s="58">
        <f>145*655.957</f>
        <v>95113.764999999999</v>
      </c>
      <c r="H40" s="26"/>
      <c r="I40" s="39">
        <f t="shared" si="3"/>
        <v>95113.764999999999</v>
      </c>
    </row>
    <row r="41" spans="1:9">
      <c r="A41" s="1" t="s">
        <v>52</v>
      </c>
      <c r="B41" s="35" t="s">
        <v>120</v>
      </c>
      <c r="C41" s="4" t="s">
        <v>41</v>
      </c>
      <c r="D41" s="4" t="s">
        <v>121</v>
      </c>
      <c r="E41" s="5">
        <v>43909</v>
      </c>
      <c r="F41" s="5">
        <v>43982</v>
      </c>
      <c r="G41" s="7">
        <f>204*655.957</f>
        <v>133815.228</v>
      </c>
      <c r="H41" s="26"/>
      <c r="I41" s="39">
        <f>G41-H41</f>
        <v>133815.228</v>
      </c>
    </row>
    <row r="42" spans="1:9">
      <c r="A42" s="1" t="s">
        <v>18</v>
      </c>
      <c r="B42" s="35" t="s">
        <v>119</v>
      </c>
      <c r="C42" s="4" t="s">
        <v>41</v>
      </c>
      <c r="D42" s="4">
        <v>22002032</v>
      </c>
      <c r="E42" s="5">
        <v>43907</v>
      </c>
      <c r="F42" s="5">
        <v>43968</v>
      </c>
      <c r="G42" s="7">
        <f>106.3*655.957</f>
        <v>69728.229099999997</v>
      </c>
      <c r="H42" s="26"/>
      <c r="I42" s="39">
        <f>G42-H42</f>
        <v>69728.229099999997</v>
      </c>
    </row>
  </sheetData>
  <mergeCells count="15">
    <mergeCell ref="H17:H18"/>
    <mergeCell ref="I17:I18"/>
    <mergeCell ref="A17:A18"/>
    <mergeCell ref="D17:D18"/>
    <mergeCell ref="E17:E18"/>
    <mergeCell ref="F17:F18"/>
    <mergeCell ref="G17:G18"/>
    <mergeCell ref="H12:H13"/>
    <mergeCell ref="I12:I13"/>
    <mergeCell ref="B3:B4"/>
    <mergeCell ref="A3:A4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63"/>
  <sheetViews>
    <sheetView tabSelected="1" topLeftCell="A19" workbookViewId="0">
      <selection activeCell="H63" sqref="H63"/>
    </sheetView>
  </sheetViews>
  <sheetFormatPr baseColWidth="10" defaultRowHeight="15.75"/>
  <cols>
    <col min="1" max="1" width="19" style="1" bestFit="1" customWidth="1"/>
    <col min="2" max="2" width="16.125" customWidth="1"/>
    <col min="3" max="3" width="16.125" style="37" customWidth="1"/>
    <col min="4" max="4" width="13.375" style="1" bestFit="1" customWidth="1"/>
    <col min="5" max="6" width="15" style="1" customWidth="1"/>
    <col min="7" max="7" width="17.875" customWidth="1"/>
    <col min="8" max="8" width="16.25" customWidth="1"/>
    <col min="9" max="9" width="17.25" customWidth="1"/>
  </cols>
  <sheetData>
    <row r="2" spans="1:9">
      <c r="B2" s="8" t="s">
        <v>6</v>
      </c>
      <c r="C2" s="8" t="s">
        <v>16</v>
      </c>
      <c r="D2" s="8" t="s">
        <v>7</v>
      </c>
      <c r="E2" s="8" t="s">
        <v>8</v>
      </c>
      <c r="F2" s="8" t="s">
        <v>25</v>
      </c>
      <c r="G2" s="8" t="s">
        <v>10</v>
      </c>
      <c r="H2" s="8" t="s">
        <v>0</v>
      </c>
      <c r="I2" s="8" t="s">
        <v>1</v>
      </c>
    </row>
    <row r="3" spans="1:9">
      <c r="A3" s="71" t="s">
        <v>17</v>
      </c>
      <c r="B3" s="60" t="s">
        <v>15</v>
      </c>
      <c r="C3" s="15" t="s">
        <v>11</v>
      </c>
      <c r="D3" s="4">
        <v>164</v>
      </c>
      <c r="E3" s="5">
        <v>42767</v>
      </c>
      <c r="F3" s="5">
        <f>E3+15</f>
        <v>42782</v>
      </c>
      <c r="G3" s="7">
        <v>3722742</v>
      </c>
      <c r="H3" s="7">
        <v>3722742</v>
      </c>
      <c r="I3" s="7">
        <f>G3-H3</f>
        <v>0</v>
      </c>
    </row>
    <row r="4" spans="1:9">
      <c r="A4" s="71"/>
      <c r="B4" s="61"/>
      <c r="C4" s="15" t="s">
        <v>2</v>
      </c>
      <c r="D4" s="4">
        <v>165</v>
      </c>
      <c r="E4" s="5">
        <v>42767</v>
      </c>
      <c r="F4" s="5">
        <f>E4+15</f>
        <v>42782</v>
      </c>
      <c r="G4" s="7">
        <v>2576529</v>
      </c>
      <c r="H4" s="7">
        <v>2576529</v>
      </c>
      <c r="I4" s="7">
        <f t="shared" ref="I4:I11" si="0">G4-H4</f>
        <v>0</v>
      </c>
    </row>
    <row r="5" spans="1:9">
      <c r="A5" s="1" t="s">
        <v>20</v>
      </c>
      <c r="B5" s="24" t="s">
        <v>19</v>
      </c>
      <c r="C5" s="15" t="s">
        <v>3</v>
      </c>
      <c r="D5" s="4">
        <v>170</v>
      </c>
      <c r="E5" s="5">
        <v>42836</v>
      </c>
      <c r="F5" s="5">
        <f t="shared" ref="F5:F11" si="1">E5+30</f>
        <v>42866</v>
      </c>
      <c r="G5" s="7">
        <v>3728093</v>
      </c>
      <c r="H5" s="7">
        <v>3728093</v>
      </c>
      <c r="I5" s="7">
        <f t="shared" si="0"/>
        <v>0</v>
      </c>
    </row>
    <row r="6" spans="1:9">
      <c r="A6" s="1" t="s">
        <v>20</v>
      </c>
      <c r="B6" s="30" t="s">
        <v>22</v>
      </c>
      <c r="C6" s="15" t="s">
        <v>11</v>
      </c>
      <c r="D6" s="4">
        <v>319</v>
      </c>
      <c r="E6" s="5">
        <v>42892</v>
      </c>
      <c r="F6" s="5">
        <f t="shared" si="1"/>
        <v>42922</v>
      </c>
      <c r="G6" s="7">
        <v>3478451</v>
      </c>
      <c r="H6" s="7">
        <f>(3000000-1661485)+2139936</f>
        <v>3478451</v>
      </c>
      <c r="I6" s="7">
        <f t="shared" si="0"/>
        <v>0</v>
      </c>
    </row>
    <row r="7" spans="1:9">
      <c r="A7" s="1" t="s">
        <v>20</v>
      </c>
      <c r="B7" s="30" t="s">
        <v>23</v>
      </c>
      <c r="C7" s="15" t="s">
        <v>2</v>
      </c>
      <c r="D7" s="4">
        <v>358</v>
      </c>
      <c r="E7" s="5">
        <v>42899</v>
      </c>
      <c r="F7" s="5">
        <f t="shared" si="1"/>
        <v>42929</v>
      </c>
      <c r="G7" s="7">
        <v>1661485</v>
      </c>
      <c r="H7" s="7">
        <v>1661485</v>
      </c>
      <c r="I7" s="7">
        <f t="shared" si="0"/>
        <v>0</v>
      </c>
    </row>
    <row r="8" spans="1:9">
      <c r="A8" s="1" t="s">
        <v>20</v>
      </c>
      <c r="B8" s="25" t="s">
        <v>21</v>
      </c>
      <c r="C8" s="15" t="s">
        <v>3</v>
      </c>
      <c r="D8" s="4">
        <v>301</v>
      </c>
      <c r="E8" s="5">
        <v>42886</v>
      </c>
      <c r="F8" s="5">
        <f t="shared" si="1"/>
        <v>42916</v>
      </c>
      <c r="G8" s="7">
        <v>3053955</v>
      </c>
      <c r="H8" s="7">
        <v>3053955</v>
      </c>
      <c r="I8" s="7">
        <f t="shared" si="0"/>
        <v>0</v>
      </c>
    </row>
    <row r="9" spans="1:9">
      <c r="A9" s="1" t="s">
        <v>20</v>
      </c>
      <c r="B9" s="35" t="s">
        <v>26</v>
      </c>
      <c r="C9" s="15" t="s">
        <v>3</v>
      </c>
      <c r="D9" s="17">
        <v>453</v>
      </c>
      <c r="E9" s="5">
        <v>42935</v>
      </c>
      <c r="F9" s="36">
        <f t="shared" si="1"/>
        <v>42965</v>
      </c>
      <c r="G9" s="29">
        <v>4061571</v>
      </c>
      <c r="H9" s="7">
        <v>4061571</v>
      </c>
      <c r="I9" s="7">
        <f>G9-H9</f>
        <v>0</v>
      </c>
    </row>
    <row r="10" spans="1:9">
      <c r="A10" s="1" t="s">
        <v>20</v>
      </c>
      <c r="B10" s="32" t="s">
        <v>27</v>
      </c>
      <c r="C10" s="15" t="s">
        <v>2</v>
      </c>
      <c r="D10" s="4">
        <v>565</v>
      </c>
      <c r="E10" s="5">
        <v>42969</v>
      </c>
      <c r="F10" s="36">
        <f t="shared" si="1"/>
        <v>42999</v>
      </c>
      <c r="G10" s="29">
        <v>4481172</v>
      </c>
      <c r="H10" s="7">
        <v>4481172</v>
      </c>
      <c r="I10" s="29">
        <f t="shared" si="0"/>
        <v>0</v>
      </c>
    </row>
    <row r="11" spans="1:9">
      <c r="A11" s="1" t="s">
        <v>20</v>
      </c>
      <c r="B11" s="41" t="s">
        <v>28</v>
      </c>
      <c r="C11" s="15" t="s">
        <v>11</v>
      </c>
      <c r="D11" s="4">
        <v>695</v>
      </c>
      <c r="E11" s="5">
        <v>43018</v>
      </c>
      <c r="F11" s="36">
        <f t="shared" si="1"/>
        <v>43048</v>
      </c>
      <c r="G11" s="29">
        <v>5208496</v>
      </c>
      <c r="H11" s="7">
        <v>5208496</v>
      </c>
      <c r="I11" s="29">
        <f t="shared" si="0"/>
        <v>0</v>
      </c>
    </row>
    <row r="12" spans="1:9">
      <c r="A12" s="1" t="s">
        <v>20</v>
      </c>
      <c r="B12" s="35" t="s">
        <v>29</v>
      </c>
      <c r="C12" s="15" t="s">
        <v>2</v>
      </c>
      <c r="D12" s="72">
        <v>826</v>
      </c>
      <c r="E12" s="74">
        <v>43059</v>
      </c>
      <c r="F12" s="65">
        <v>43089</v>
      </c>
      <c r="G12" s="69">
        <v>11786969</v>
      </c>
      <c r="H12" s="67">
        <f>3928990+7857979</f>
        <v>11786969</v>
      </c>
      <c r="I12" s="69">
        <f>G12-H12</f>
        <v>0</v>
      </c>
    </row>
    <row r="13" spans="1:9">
      <c r="A13" s="1" t="s">
        <v>20</v>
      </c>
      <c r="B13" s="35" t="s">
        <v>30</v>
      </c>
      <c r="C13" s="15" t="s">
        <v>3</v>
      </c>
      <c r="D13" s="73"/>
      <c r="E13" s="75"/>
      <c r="F13" s="66"/>
      <c r="G13" s="70"/>
      <c r="H13" s="68"/>
      <c r="I13" s="70"/>
    </row>
    <row r="14" spans="1:9">
      <c r="A14" s="1" t="s">
        <v>20</v>
      </c>
      <c r="B14" s="42" t="s">
        <v>32</v>
      </c>
      <c r="C14" s="15" t="s">
        <v>2</v>
      </c>
      <c r="D14" s="4">
        <v>949</v>
      </c>
      <c r="E14" s="5">
        <v>43098</v>
      </c>
      <c r="F14" s="36">
        <v>43129</v>
      </c>
      <c r="G14" s="29">
        <v>2596102</v>
      </c>
      <c r="H14" s="29">
        <v>2596102</v>
      </c>
      <c r="I14" s="29">
        <f>G14-H14</f>
        <v>0</v>
      </c>
    </row>
    <row r="15" spans="1:9">
      <c r="A15" s="1" t="s">
        <v>20</v>
      </c>
      <c r="B15" s="35" t="s">
        <v>33</v>
      </c>
      <c r="C15" s="15" t="s">
        <v>3</v>
      </c>
      <c r="D15" s="4">
        <v>988</v>
      </c>
      <c r="E15" s="5">
        <v>43125</v>
      </c>
      <c r="F15" s="36">
        <v>43156</v>
      </c>
      <c r="G15" s="29">
        <v>7656461</v>
      </c>
      <c r="H15" s="29">
        <v>7656461</v>
      </c>
      <c r="I15" s="29">
        <f>G15-H15</f>
        <v>0</v>
      </c>
    </row>
    <row r="16" spans="1:9">
      <c r="A16" s="71" t="s">
        <v>36</v>
      </c>
      <c r="B16" s="63" t="s">
        <v>35</v>
      </c>
      <c r="C16" s="79" t="s">
        <v>3</v>
      </c>
      <c r="D16" s="4">
        <v>820</v>
      </c>
      <c r="E16" s="5">
        <v>43222</v>
      </c>
      <c r="F16" s="5">
        <v>43222</v>
      </c>
      <c r="G16" s="29">
        <v>5789198</v>
      </c>
      <c r="H16" s="29">
        <v>5789198</v>
      </c>
      <c r="I16" s="29">
        <f t="shared" ref="I16:I18" si="2">G16-H16</f>
        <v>0</v>
      </c>
    </row>
    <row r="17" spans="1:9">
      <c r="A17" s="71"/>
      <c r="B17" s="64"/>
      <c r="C17" s="80"/>
      <c r="D17" s="4">
        <v>819</v>
      </c>
      <c r="E17" s="5">
        <v>43231</v>
      </c>
      <c r="F17" s="5">
        <v>43281</v>
      </c>
      <c r="G17" s="29">
        <v>1080516</v>
      </c>
      <c r="H17" s="29">
        <v>1080516</v>
      </c>
      <c r="I17" s="29">
        <f t="shared" si="2"/>
        <v>0</v>
      </c>
    </row>
    <row r="18" spans="1:9">
      <c r="A18" s="71" t="s">
        <v>20</v>
      </c>
      <c r="B18" s="47" t="s">
        <v>43</v>
      </c>
      <c r="C18" s="15" t="s">
        <v>37</v>
      </c>
      <c r="D18" s="72">
        <v>548</v>
      </c>
      <c r="E18" s="74">
        <v>43314</v>
      </c>
      <c r="F18" s="65">
        <v>43345</v>
      </c>
      <c r="G18" s="69">
        <v>8756450</v>
      </c>
      <c r="H18" s="69">
        <v>8756450</v>
      </c>
      <c r="I18" s="69">
        <f t="shared" si="2"/>
        <v>0</v>
      </c>
    </row>
    <row r="19" spans="1:9">
      <c r="A19" s="71"/>
      <c r="B19" s="35" t="s">
        <v>44</v>
      </c>
      <c r="C19" s="15" t="s">
        <v>41</v>
      </c>
      <c r="D19" s="73"/>
      <c r="E19" s="75"/>
      <c r="F19" s="66"/>
      <c r="G19" s="70"/>
      <c r="H19" s="70"/>
      <c r="I19" s="70"/>
    </row>
    <row r="20" spans="1:9">
      <c r="A20" s="1" t="s">
        <v>36</v>
      </c>
      <c r="B20" s="35" t="s">
        <v>40</v>
      </c>
      <c r="C20" s="15" t="s">
        <v>3</v>
      </c>
      <c r="D20" s="4">
        <v>867</v>
      </c>
      <c r="E20" s="5">
        <v>43274</v>
      </c>
      <c r="F20" s="5">
        <v>43274</v>
      </c>
      <c r="G20" s="29">
        <v>852174</v>
      </c>
      <c r="H20" s="29">
        <v>852174</v>
      </c>
      <c r="I20" s="39">
        <f>G20-H20</f>
        <v>0</v>
      </c>
    </row>
    <row r="21" spans="1:9">
      <c r="A21" s="76" t="s">
        <v>47</v>
      </c>
      <c r="B21" s="63" t="s">
        <v>49</v>
      </c>
      <c r="C21" s="81" t="s">
        <v>41</v>
      </c>
      <c r="D21" s="17" t="s">
        <v>59</v>
      </c>
      <c r="E21" s="36">
        <v>43425</v>
      </c>
      <c r="F21" s="36">
        <v>43425</v>
      </c>
      <c r="G21" s="29">
        <v>5759111</v>
      </c>
      <c r="H21" s="29">
        <v>5759111</v>
      </c>
      <c r="I21" s="48">
        <f t="shared" ref="I21:I29" si="3">G21-H21</f>
        <v>0</v>
      </c>
    </row>
    <row r="22" spans="1:9">
      <c r="A22" s="76"/>
      <c r="B22" s="83"/>
      <c r="C22" s="84"/>
      <c r="D22" s="17" t="s">
        <v>63</v>
      </c>
      <c r="E22" s="36">
        <v>43432</v>
      </c>
      <c r="F22" s="36">
        <v>43462</v>
      </c>
      <c r="G22" s="29">
        <v>2408408</v>
      </c>
      <c r="H22" s="29">
        <f>1700000</f>
        <v>1700000</v>
      </c>
      <c r="I22" s="48">
        <f t="shared" si="3"/>
        <v>708408</v>
      </c>
    </row>
    <row r="23" spans="1:9">
      <c r="A23" s="76"/>
      <c r="B23" s="64"/>
      <c r="C23" s="82"/>
      <c r="D23" s="17" t="s">
        <v>71</v>
      </c>
      <c r="E23" s="36">
        <v>43493</v>
      </c>
      <c r="F23" s="36">
        <v>43493</v>
      </c>
      <c r="G23" s="29">
        <v>-503950</v>
      </c>
      <c r="H23" s="29">
        <v>-503950</v>
      </c>
      <c r="I23" s="48">
        <f t="shared" si="3"/>
        <v>0</v>
      </c>
    </row>
    <row r="24" spans="1:9">
      <c r="A24" s="1" t="s">
        <v>48</v>
      </c>
      <c r="B24" s="35" t="s">
        <v>46</v>
      </c>
      <c r="C24" s="15" t="s">
        <v>37</v>
      </c>
      <c r="D24" s="17" t="s">
        <v>51</v>
      </c>
      <c r="E24" s="5">
        <v>43373</v>
      </c>
      <c r="F24" s="5">
        <v>43373</v>
      </c>
      <c r="G24" s="29">
        <v>407754</v>
      </c>
      <c r="H24" s="29">
        <v>407754</v>
      </c>
      <c r="I24" s="39">
        <f t="shared" si="3"/>
        <v>0</v>
      </c>
    </row>
    <row r="25" spans="1:9">
      <c r="A25" s="43" t="s">
        <v>36</v>
      </c>
      <c r="B25" s="35" t="s">
        <v>56</v>
      </c>
      <c r="C25" s="27" t="s">
        <v>3</v>
      </c>
      <c r="D25" s="17">
        <v>325</v>
      </c>
      <c r="E25" s="36">
        <v>43444</v>
      </c>
      <c r="F25" s="36">
        <v>43131</v>
      </c>
      <c r="G25" s="29">
        <v>7536701</v>
      </c>
      <c r="H25" s="29">
        <f>6027219+562422+947060</f>
        <v>7536701</v>
      </c>
      <c r="I25" s="48">
        <f t="shared" si="3"/>
        <v>0</v>
      </c>
    </row>
    <row r="26" spans="1:9">
      <c r="A26" s="71" t="s">
        <v>52</v>
      </c>
      <c r="B26" s="63" t="s">
        <v>58</v>
      </c>
      <c r="C26" s="79" t="s">
        <v>37</v>
      </c>
      <c r="D26" s="4">
        <v>1865016559</v>
      </c>
      <c r="E26" s="5">
        <v>43453</v>
      </c>
      <c r="F26" s="5">
        <v>43453</v>
      </c>
      <c r="G26" s="29">
        <v>2190759</v>
      </c>
      <c r="H26" s="29">
        <v>2190759</v>
      </c>
      <c r="I26" s="48">
        <f t="shared" si="3"/>
        <v>0</v>
      </c>
    </row>
    <row r="27" spans="1:9">
      <c r="A27" s="71"/>
      <c r="B27" s="64"/>
      <c r="C27" s="80"/>
      <c r="D27" s="17">
        <v>1860032736</v>
      </c>
      <c r="E27" s="36">
        <v>43458</v>
      </c>
      <c r="F27" s="36">
        <v>43458</v>
      </c>
      <c r="G27" s="29">
        <v>625258</v>
      </c>
      <c r="H27" s="29">
        <v>625258</v>
      </c>
      <c r="I27" s="48">
        <f t="shared" si="3"/>
        <v>0</v>
      </c>
    </row>
    <row r="28" spans="1:9">
      <c r="A28" s="43" t="s">
        <v>36</v>
      </c>
      <c r="B28" s="35" t="s">
        <v>53</v>
      </c>
      <c r="C28" s="27" t="s">
        <v>3</v>
      </c>
      <c r="D28" s="17">
        <v>260</v>
      </c>
      <c r="E28" s="36">
        <v>43426</v>
      </c>
      <c r="F28" s="36">
        <v>43465</v>
      </c>
      <c r="G28" s="29">
        <v>1198905</v>
      </c>
      <c r="H28" s="29">
        <f>796340+402565</f>
        <v>1198905</v>
      </c>
      <c r="I28" s="48">
        <f t="shared" si="3"/>
        <v>0</v>
      </c>
    </row>
    <row r="29" spans="1:9">
      <c r="A29" s="1" t="s">
        <v>20</v>
      </c>
      <c r="B29" s="35" t="s">
        <v>60</v>
      </c>
      <c r="C29" s="15" t="s">
        <v>54</v>
      </c>
      <c r="D29" s="4">
        <v>950</v>
      </c>
      <c r="E29" s="5">
        <v>43447</v>
      </c>
      <c r="F29" s="5">
        <v>43478</v>
      </c>
      <c r="G29" s="29">
        <v>1979174</v>
      </c>
      <c r="H29" s="29">
        <v>1979174</v>
      </c>
      <c r="I29" s="39">
        <f t="shared" si="3"/>
        <v>0</v>
      </c>
    </row>
    <row r="30" spans="1:9">
      <c r="A30" s="1" t="s">
        <v>20</v>
      </c>
      <c r="B30" s="35" t="s">
        <v>65</v>
      </c>
      <c r="C30" s="15" t="s">
        <v>62</v>
      </c>
      <c r="D30" s="4">
        <v>1149</v>
      </c>
      <c r="E30" s="5">
        <v>43516</v>
      </c>
      <c r="F30" s="5">
        <v>43544</v>
      </c>
      <c r="G30" s="29">
        <v>3847277</v>
      </c>
      <c r="H30" s="29">
        <v>3847277</v>
      </c>
      <c r="I30" s="39">
        <f>G30-H30</f>
        <v>0</v>
      </c>
    </row>
    <row r="31" spans="1:9">
      <c r="A31" s="71" t="s">
        <v>52</v>
      </c>
      <c r="B31" s="63" t="s">
        <v>64</v>
      </c>
      <c r="C31" s="79" t="s">
        <v>41</v>
      </c>
      <c r="D31" s="4">
        <v>1965002221</v>
      </c>
      <c r="E31" s="5">
        <v>43517</v>
      </c>
      <c r="F31" s="5">
        <v>43517</v>
      </c>
      <c r="G31" s="29">
        <v>5240723</v>
      </c>
      <c r="H31" s="29">
        <v>5240723</v>
      </c>
      <c r="I31" s="48">
        <f>G31-H31</f>
        <v>0</v>
      </c>
    </row>
    <row r="32" spans="1:9">
      <c r="A32" s="71"/>
      <c r="B32" s="64"/>
      <c r="C32" s="80"/>
      <c r="D32" s="17">
        <v>1960005583</v>
      </c>
      <c r="E32" s="36">
        <v>43528</v>
      </c>
      <c r="F32" s="36">
        <v>43558</v>
      </c>
      <c r="G32" s="29">
        <v>1645996</v>
      </c>
      <c r="H32" s="54"/>
      <c r="I32" s="48">
        <f>G32-H32</f>
        <v>1645996</v>
      </c>
    </row>
    <row r="33" spans="1:9">
      <c r="A33" s="76" t="s">
        <v>47</v>
      </c>
      <c r="B33" s="63" t="s">
        <v>67</v>
      </c>
      <c r="C33" s="81" t="s">
        <v>3</v>
      </c>
      <c r="D33" s="17" t="s">
        <v>72</v>
      </c>
      <c r="E33" s="36">
        <v>43515</v>
      </c>
      <c r="F33" s="36">
        <v>43520</v>
      </c>
      <c r="G33" s="29">
        <v>827986</v>
      </c>
      <c r="H33" s="29">
        <v>827986</v>
      </c>
      <c r="I33" s="48">
        <f t="shared" ref="I33:I45" si="4">G33-H33</f>
        <v>0</v>
      </c>
    </row>
    <row r="34" spans="1:9">
      <c r="A34" s="76"/>
      <c r="B34" s="64"/>
      <c r="C34" s="82"/>
      <c r="D34" s="17" t="s">
        <v>73</v>
      </c>
      <c r="E34" s="36">
        <v>43522</v>
      </c>
      <c r="F34" s="36">
        <v>43550</v>
      </c>
      <c r="G34" s="29">
        <v>498272</v>
      </c>
      <c r="H34" s="29">
        <v>498272</v>
      </c>
      <c r="I34" s="48">
        <f t="shared" si="4"/>
        <v>0</v>
      </c>
    </row>
    <row r="35" spans="1:9">
      <c r="A35" s="1" t="s">
        <v>36</v>
      </c>
      <c r="B35" s="35" t="s">
        <v>66</v>
      </c>
      <c r="C35" s="15" t="s">
        <v>3</v>
      </c>
      <c r="D35" s="4">
        <v>490</v>
      </c>
      <c r="E35" s="5">
        <v>43504</v>
      </c>
      <c r="F35" s="5">
        <v>43555</v>
      </c>
      <c r="G35" s="29">
        <v>2741751</v>
      </c>
      <c r="H35" s="29">
        <f>2581894+159857</f>
        <v>2741751</v>
      </c>
      <c r="I35" s="48">
        <f t="shared" si="4"/>
        <v>0</v>
      </c>
    </row>
    <row r="36" spans="1:9">
      <c r="A36" s="1" t="s">
        <v>48</v>
      </c>
      <c r="B36" s="35" t="s">
        <v>74</v>
      </c>
      <c r="C36" s="15" t="s">
        <v>62</v>
      </c>
      <c r="D36" s="4" t="s">
        <v>79</v>
      </c>
      <c r="E36" s="5">
        <v>43557</v>
      </c>
      <c r="F36" s="5">
        <v>43557</v>
      </c>
      <c r="G36" s="29">
        <v>128538</v>
      </c>
      <c r="H36" s="29">
        <v>128538</v>
      </c>
      <c r="I36" s="29">
        <f t="shared" si="4"/>
        <v>0</v>
      </c>
    </row>
    <row r="37" spans="1:9">
      <c r="A37" s="43" t="s">
        <v>20</v>
      </c>
      <c r="B37" s="35" t="s">
        <v>76</v>
      </c>
      <c r="C37" s="27" t="s">
        <v>62</v>
      </c>
      <c r="D37" s="17">
        <v>1354</v>
      </c>
      <c r="E37" s="36">
        <v>43588</v>
      </c>
      <c r="F37" s="36">
        <v>43619</v>
      </c>
      <c r="G37" s="29">
        <v>8449933</v>
      </c>
      <c r="H37" s="29">
        <v>8449933</v>
      </c>
      <c r="I37" s="48">
        <f t="shared" si="4"/>
        <v>0</v>
      </c>
    </row>
    <row r="38" spans="1:9">
      <c r="A38" s="1" t="s">
        <v>78</v>
      </c>
      <c r="B38" s="35" t="s">
        <v>82</v>
      </c>
      <c r="C38" s="15" t="s">
        <v>54</v>
      </c>
      <c r="D38" s="4">
        <v>1784</v>
      </c>
      <c r="E38" s="5">
        <v>43697</v>
      </c>
      <c r="F38" s="5">
        <v>43697</v>
      </c>
      <c r="G38" s="29">
        <f>2925693</f>
        <v>2925693</v>
      </c>
      <c r="H38" s="29">
        <v>2925693</v>
      </c>
      <c r="I38" s="48">
        <f t="shared" si="4"/>
        <v>0</v>
      </c>
    </row>
    <row r="39" spans="1:9">
      <c r="A39" s="71" t="s">
        <v>81</v>
      </c>
      <c r="B39" s="63" t="s">
        <v>86</v>
      </c>
      <c r="C39" s="79" t="s">
        <v>3</v>
      </c>
      <c r="D39" s="4">
        <v>2209</v>
      </c>
      <c r="E39" s="5">
        <v>43698</v>
      </c>
      <c r="F39" s="5">
        <v>43698</v>
      </c>
      <c r="G39" s="29">
        <v>4038509</v>
      </c>
      <c r="H39" s="29">
        <v>4038509</v>
      </c>
      <c r="I39" s="39">
        <f t="shared" si="4"/>
        <v>0</v>
      </c>
    </row>
    <row r="40" spans="1:9">
      <c r="A40" s="71"/>
      <c r="B40" s="64"/>
      <c r="C40" s="80"/>
      <c r="D40" s="4">
        <v>2369</v>
      </c>
      <c r="E40" s="5">
        <v>43708</v>
      </c>
      <c r="F40" s="5">
        <v>43708</v>
      </c>
      <c r="G40" s="29">
        <v>1101000</v>
      </c>
      <c r="H40" s="29">
        <v>1101000</v>
      </c>
      <c r="I40" s="39">
        <f t="shared" si="4"/>
        <v>0</v>
      </c>
    </row>
    <row r="41" spans="1:9">
      <c r="A41" s="1" t="s">
        <v>20</v>
      </c>
      <c r="B41" s="35" t="s">
        <v>84</v>
      </c>
      <c r="C41" s="15" t="s">
        <v>3</v>
      </c>
      <c r="D41" s="4">
        <v>147</v>
      </c>
      <c r="E41" s="5">
        <v>43696</v>
      </c>
      <c r="F41" s="5">
        <v>43727</v>
      </c>
      <c r="G41" s="29">
        <v>7160834</v>
      </c>
      <c r="H41" s="29">
        <f>160834+3000000+4000000</f>
        <v>7160834</v>
      </c>
      <c r="I41" s="39">
        <f t="shared" si="4"/>
        <v>0</v>
      </c>
    </row>
    <row r="42" spans="1:9">
      <c r="A42" s="71" t="s">
        <v>85</v>
      </c>
      <c r="B42" s="63" t="s">
        <v>89</v>
      </c>
      <c r="C42" s="79" t="s">
        <v>3</v>
      </c>
      <c r="D42" s="4" t="s">
        <v>98</v>
      </c>
      <c r="E42" s="5">
        <v>43705</v>
      </c>
      <c r="F42" s="5">
        <v>43705</v>
      </c>
      <c r="G42" s="29">
        <v>587786</v>
      </c>
      <c r="H42" s="29">
        <v>587786</v>
      </c>
      <c r="I42" s="39">
        <f t="shared" si="4"/>
        <v>0</v>
      </c>
    </row>
    <row r="43" spans="1:9">
      <c r="A43" s="71"/>
      <c r="B43" s="64"/>
      <c r="C43" s="80"/>
      <c r="D43" s="4" t="s">
        <v>99</v>
      </c>
      <c r="E43" s="5">
        <v>43718</v>
      </c>
      <c r="F43" s="5">
        <v>43718</v>
      </c>
      <c r="G43" s="39">
        <v>426763</v>
      </c>
      <c r="H43" s="29">
        <v>426763</v>
      </c>
      <c r="I43" s="48">
        <f t="shared" si="4"/>
        <v>0</v>
      </c>
    </row>
    <row r="44" spans="1:9">
      <c r="A44" s="1" t="s">
        <v>20</v>
      </c>
      <c r="B44" s="35" t="s">
        <v>87</v>
      </c>
      <c r="C44" s="15" t="s">
        <v>3</v>
      </c>
      <c r="D44" s="4">
        <v>176</v>
      </c>
      <c r="E44" s="5">
        <v>43710</v>
      </c>
      <c r="F44" s="5">
        <v>43740</v>
      </c>
      <c r="G44" s="39">
        <v>1004722</v>
      </c>
      <c r="H44" s="29">
        <v>1004722</v>
      </c>
      <c r="I44" s="39">
        <f t="shared" si="4"/>
        <v>0</v>
      </c>
    </row>
    <row r="45" spans="1:9">
      <c r="A45" s="1" t="s">
        <v>20</v>
      </c>
      <c r="B45" s="35" t="s">
        <v>91</v>
      </c>
      <c r="C45" s="15" t="s">
        <v>3</v>
      </c>
      <c r="D45" s="4">
        <v>253</v>
      </c>
      <c r="E45" s="5">
        <v>43740</v>
      </c>
      <c r="F45" s="5">
        <v>43771</v>
      </c>
      <c r="G45" s="39">
        <v>1016872</v>
      </c>
      <c r="H45" s="29">
        <v>1016872</v>
      </c>
      <c r="I45" s="39">
        <f t="shared" si="4"/>
        <v>0</v>
      </c>
    </row>
    <row r="46" spans="1:9">
      <c r="A46" s="1" t="s">
        <v>78</v>
      </c>
      <c r="B46" s="35" t="s">
        <v>92</v>
      </c>
      <c r="C46" s="15" t="s">
        <v>3</v>
      </c>
      <c r="D46" s="4">
        <v>2453</v>
      </c>
      <c r="E46" s="5">
        <v>43724</v>
      </c>
      <c r="F46" s="5">
        <v>43724</v>
      </c>
      <c r="G46" s="39">
        <v>1352612</v>
      </c>
      <c r="H46" s="29">
        <v>1352612</v>
      </c>
      <c r="I46" s="39">
        <f t="shared" ref="I46:I52" si="5">G46-H46</f>
        <v>0</v>
      </c>
    </row>
    <row r="47" spans="1:9">
      <c r="A47" s="71" t="s">
        <v>81</v>
      </c>
      <c r="B47" s="63" t="s">
        <v>93</v>
      </c>
      <c r="C47" s="79" t="s">
        <v>3</v>
      </c>
      <c r="D47" s="4">
        <v>2392</v>
      </c>
      <c r="E47" s="5">
        <v>43711</v>
      </c>
      <c r="F47" s="5">
        <v>43711</v>
      </c>
      <c r="G47" s="39">
        <v>609692</v>
      </c>
      <c r="H47" s="29">
        <v>609692</v>
      </c>
      <c r="I47" s="39">
        <f t="shared" si="5"/>
        <v>0</v>
      </c>
    </row>
    <row r="48" spans="1:9">
      <c r="A48" s="71"/>
      <c r="B48" s="64"/>
      <c r="C48" s="80"/>
      <c r="D48" s="4">
        <v>2597</v>
      </c>
      <c r="E48" s="5">
        <v>43725</v>
      </c>
      <c r="F48" s="5">
        <v>43725</v>
      </c>
      <c r="G48" s="39">
        <v>583500</v>
      </c>
      <c r="H48" s="29">
        <v>583500</v>
      </c>
      <c r="I48" s="39">
        <f t="shared" si="5"/>
        <v>0</v>
      </c>
    </row>
    <row r="49" spans="1:9">
      <c r="A49" s="1" t="s">
        <v>20</v>
      </c>
      <c r="B49" s="35" t="s">
        <v>94</v>
      </c>
      <c r="C49" s="15" t="s">
        <v>3</v>
      </c>
      <c r="D49" s="4">
        <v>209</v>
      </c>
      <c r="E49" s="5">
        <v>43713</v>
      </c>
      <c r="F49" s="5">
        <v>43743</v>
      </c>
      <c r="G49" s="39">
        <v>921257</v>
      </c>
      <c r="H49" s="29">
        <v>921257</v>
      </c>
      <c r="I49" s="39">
        <f t="shared" si="5"/>
        <v>0</v>
      </c>
    </row>
    <row r="50" spans="1:9">
      <c r="A50" s="71" t="s">
        <v>85</v>
      </c>
      <c r="B50" s="63" t="s">
        <v>96</v>
      </c>
      <c r="C50" s="79" t="s">
        <v>3</v>
      </c>
      <c r="D50" s="4" t="s">
        <v>100</v>
      </c>
      <c r="E50" s="5">
        <v>43718</v>
      </c>
      <c r="F50" s="5">
        <v>43718</v>
      </c>
      <c r="G50" s="39">
        <v>594764</v>
      </c>
      <c r="H50" s="29">
        <v>594764</v>
      </c>
      <c r="I50" s="39">
        <f t="shared" si="5"/>
        <v>0</v>
      </c>
    </row>
    <row r="51" spans="1:9">
      <c r="A51" s="71"/>
      <c r="B51" s="64"/>
      <c r="C51" s="80"/>
      <c r="D51" s="4" t="s">
        <v>101</v>
      </c>
      <c r="E51" s="5">
        <v>43718</v>
      </c>
      <c r="F51" s="5">
        <v>43718</v>
      </c>
      <c r="G51" s="39">
        <v>514284</v>
      </c>
      <c r="H51" s="29">
        <v>514284</v>
      </c>
      <c r="I51" s="48">
        <f t="shared" si="5"/>
        <v>0</v>
      </c>
    </row>
    <row r="52" spans="1:9">
      <c r="A52" s="1" t="s">
        <v>85</v>
      </c>
      <c r="B52" s="35" t="s">
        <v>95</v>
      </c>
      <c r="C52" s="15" t="s">
        <v>2</v>
      </c>
      <c r="D52" s="4" t="s">
        <v>102</v>
      </c>
      <c r="E52" s="5">
        <v>43703</v>
      </c>
      <c r="F52" s="5">
        <v>43703</v>
      </c>
      <c r="G52" s="39">
        <v>238230</v>
      </c>
      <c r="H52" s="29">
        <v>238230</v>
      </c>
      <c r="I52" s="39">
        <f t="shared" si="5"/>
        <v>0</v>
      </c>
    </row>
    <row r="53" spans="1:9">
      <c r="A53" s="71" t="s">
        <v>85</v>
      </c>
      <c r="B53" s="63" t="s">
        <v>104</v>
      </c>
      <c r="C53" s="79" t="s">
        <v>62</v>
      </c>
      <c r="D53" s="4" t="s">
        <v>109</v>
      </c>
      <c r="E53" s="5">
        <v>43769</v>
      </c>
      <c r="F53" s="5">
        <v>43769</v>
      </c>
      <c r="G53" s="39">
        <v>428025</v>
      </c>
      <c r="H53" s="29">
        <v>428025</v>
      </c>
      <c r="I53" s="48">
        <f>G53-H53</f>
        <v>0</v>
      </c>
    </row>
    <row r="54" spans="1:9">
      <c r="A54" s="71"/>
      <c r="B54" s="64"/>
      <c r="C54" s="80"/>
      <c r="D54" s="4" t="s">
        <v>110</v>
      </c>
      <c r="E54" s="5">
        <v>43769</v>
      </c>
      <c r="F54" s="5">
        <v>43769</v>
      </c>
      <c r="G54" s="39">
        <v>1527980</v>
      </c>
      <c r="H54" s="29">
        <v>1527980</v>
      </c>
      <c r="I54" s="48">
        <f>G54-H54</f>
        <v>0</v>
      </c>
    </row>
    <row r="55" spans="1:9">
      <c r="A55" s="1" t="s">
        <v>78</v>
      </c>
      <c r="B55" s="35" t="s">
        <v>107</v>
      </c>
      <c r="C55" s="15" t="s">
        <v>62</v>
      </c>
      <c r="D55" s="4">
        <v>3810</v>
      </c>
      <c r="E55" s="5">
        <v>43798</v>
      </c>
      <c r="F55" s="5">
        <v>43798</v>
      </c>
      <c r="G55" s="39">
        <v>7391492</v>
      </c>
      <c r="H55" s="39">
        <v>4000000</v>
      </c>
      <c r="I55" s="48">
        <f>G55-H55</f>
        <v>3391492</v>
      </c>
    </row>
    <row r="56" spans="1:9">
      <c r="A56" s="1" t="s">
        <v>20</v>
      </c>
      <c r="B56" s="35" t="s">
        <v>113</v>
      </c>
      <c r="C56" s="15" t="s">
        <v>41</v>
      </c>
      <c r="D56" s="4">
        <v>637</v>
      </c>
      <c r="E56" s="5">
        <v>43881</v>
      </c>
      <c r="F56" s="5">
        <v>43910</v>
      </c>
      <c r="G56" s="39">
        <v>1388843</v>
      </c>
      <c r="H56" s="39">
        <v>1388843</v>
      </c>
      <c r="I56" s="39">
        <f>G56-H56</f>
        <v>0</v>
      </c>
    </row>
    <row r="57" spans="1:9">
      <c r="A57" s="71" t="s">
        <v>81</v>
      </c>
      <c r="B57" s="63" t="s">
        <v>116</v>
      </c>
      <c r="C57" s="79" t="s">
        <v>41</v>
      </c>
      <c r="D57" s="4">
        <v>482</v>
      </c>
      <c r="E57" s="5">
        <v>43901</v>
      </c>
      <c r="F57" s="5">
        <v>43901</v>
      </c>
      <c r="G57" s="39">
        <v>582487</v>
      </c>
      <c r="H57" s="39">
        <v>582487</v>
      </c>
      <c r="I57" s="26">
        <f>G57-H57</f>
        <v>0</v>
      </c>
    </row>
    <row r="58" spans="1:9">
      <c r="A58" s="71"/>
      <c r="B58" s="64"/>
      <c r="C58" s="80"/>
      <c r="D58" s="4"/>
      <c r="E58" s="5"/>
      <c r="F58" s="5"/>
      <c r="G58" s="39"/>
      <c r="H58" s="39"/>
      <c r="I58" s="26"/>
    </row>
    <row r="59" spans="1:9">
      <c r="A59" s="1" t="s">
        <v>20</v>
      </c>
      <c r="B59" s="35" t="s">
        <v>114</v>
      </c>
      <c r="C59" s="15" t="s">
        <v>41</v>
      </c>
      <c r="D59" s="4">
        <v>622</v>
      </c>
      <c r="E59" s="5">
        <v>43875</v>
      </c>
      <c r="F59" s="5">
        <v>43904</v>
      </c>
      <c r="G59" s="39">
        <v>1351931</v>
      </c>
      <c r="H59" s="39">
        <f>611157+740774</f>
        <v>1351931</v>
      </c>
      <c r="I59" s="39">
        <f>G59-H59</f>
        <v>0</v>
      </c>
    </row>
    <row r="60" spans="1:9">
      <c r="A60" s="1" t="s">
        <v>52</v>
      </c>
      <c r="B60" s="35" t="s">
        <v>120</v>
      </c>
      <c r="C60" s="15" t="s">
        <v>41</v>
      </c>
      <c r="D60" s="4"/>
      <c r="E60" s="4"/>
      <c r="F60" s="4"/>
      <c r="G60" s="26"/>
      <c r="H60" s="26"/>
      <c r="I60" s="26"/>
    </row>
    <row r="61" spans="1:9">
      <c r="A61" s="1" t="s">
        <v>20</v>
      </c>
      <c r="B61" s="35" t="s">
        <v>119</v>
      </c>
      <c r="C61" s="15" t="s">
        <v>41</v>
      </c>
      <c r="D61" s="4"/>
      <c r="E61" s="4"/>
      <c r="F61" s="4"/>
      <c r="G61" s="26"/>
      <c r="H61" s="26"/>
      <c r="I61" s="26"/>
    </row>
    <row r="62" spans="1:9">
      <c r="A62" s="1" t="s">
        <v>20</v>
      </c>
      <c r="B62" s="35" t="s">
        <v>118</v>
      </c>
      <c r="C62" s="15" t="s">
        <v>2</v>
      </c>
      <c r="D62" s="4">
        <v>769</v>
      </c>
      <c r="E62" s="5">
        <v>43928</v>
      </c>
      <c r="F62" s="5">
        <v>43958</v>
      </c>
      <c r="G62" s="39">
        <v>2122280</v>
      </c>
      <c r="H62" s="86">
        <v>1284478</v>
      </c>
      <c r="I62" s="39">
        <f>G62-H62</f>
        <v>837802</v>
      </c>
    </row>
    <row r="63" spans="1:9">
      <c r="A63" s="1" t="s">
        <v>48</v>
      </c>
      <c r="B63" s="35" t="s">
        <v>122</v>
      </c>
      <c r="C63" s="15" t="s">
        <v>62</v>
      </c>
      <c r="D63" s="4" t="s">
        <v>124</v>
      </c>
      <c r="E63" s="5">
        <v>43927</v>
      </c>
      <c r="F63" s="5">
        <v>43927</v>
      </c>
      <c r="G63" s="39">
        <v>77584</v>
      </c>
      <c r="H63" s="39">
        <v>77309</v>
      </c>
      <c r="I63" s="39">
        <f>G63-H63</f>
        <v>275</v>
      </c>
    </row>
  </sheetData>
  <mergeCells count="48">
    <mergeCell ref="A53:A54"/>
    <mergeCell ref="C53:C54"/>
    <mergeCell ref="A47:A48"/>
    <mergeCell ref="B47:B48"/>
    <mergeCell ref="C47:C48"/>
    <mergeCell ref="A50:A51"/>
    <mergeCell ref="B50:B51"/>
    <mergeCell ref="C50:C51"/>
    <mergeCell ref="B3:B4"/>
    <mergeCell ref="A3:A4"/>
    <mergeCell ref="D12:D13"/>
    <mergeCell ref="E12:E13"/>
    <mergeCell ref="A18:A19"/>
    <mergeCell ref="A16:A17"/>
    <mergeCell ref="G18:G19"/>
    <mergeCell ref="I12:I13"/>
    <mergeCell ref="F12:F13"/>
    <mergeCell ref="C16:C17"/>
    <mergeCell ref="B16:B17"/>
    <mergeCell ref="G12:G13"/>
    <mergeCell ref="H12:H13"/>
    <mergeCell ref="H18:H19"/>
    <mergeCell ref="I18:I19"/>
    <mergeCell ref="D18:D19"/>
    <mergeCell ref="E18:E19"/>
    <mergeCell ref="F18:F19"/>
    <mergeCell ref="A26:A27"/>
    <mergeCell ref="B26:B27"/>
    <mergeCell ref="C26:C27"/>
    <mergeCell ref="B21:B23"/>
    <mergeCell ref="C21:C23"/>
    <mergeCell ref="A21:A23"/>
    <mergeCell ref="A57:A58"/>
    <mergeCell ref="B57:B58"/>
    <mergeCell ref="C57:C58"/>
    <mergeCell ref="B31:B32"/>
    <mergeCell ref="C31:C32"/>
    <mergeCell ref="A31:A32"/>
    <mergeCell ref="A33:A34"/>
    <mergeCell ref="B33:B34"/>
    <mergeCell ref="C33:C34"/>
    <mergeCell ref="A39:A40"/>
    <mergeCell ref="B39:B40"/>
    <mergeCell ref="C39:C40"/>
    <mergeCell ref="A42:A43"/>
    <mergeCell ref="B42:B43"/>
    <mergeCell ref="C42:C43"/>
    <mergeCell ref="B53:B5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5"/>
  <sheetViews>
    <sheetView workbookViewId="0">
      <selection activeCell="G19" sqref="G19"/>
    </sheetView>
  </sheetViews>
  <sheetFormatPr baseColWidth="10" defaultRowHeight="15.75"/>
  <cols>
    <col min="2" max="2" width="15.25" bestFit="1" customWidth="1"/>
    <col min="3" max="3" width="10.875" bestFit="1" customWidth="1"/>
    <col min="4" max="4" width="13.375" bestFit="1" customWidth="1"/>
    <col min="5" max="5" width="10.375" bestFit="1" customWidth="1"/>
    <col min="6" max="6" width="11.625" bestFit="1" customWidth="1"/>
    <col min="7" max="7" width="14.75" bestFit="1" customWidth="1"/>
    <col min="8" max="9" width="13.75" bestFit="1" customWidth="1"/>
  </cols>
  <sheetData>
    <row r="2" spans="2:9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</row>
    <row r="3" spans="2:9">
      <c r="B3" s="46" t="s">
        <v>45</v>
      </c>
      <c r="C3" s="17" t="s">
        <v>103</v>
      </c>
      <c r="D3" s="36">
        <v>43403</v>
      </c>
      <c r="E3" s="36">
        <v>43434</v>
      </c>
      <c r="F3" s="50" t="s">
        <v>39</v>
      </c>
      <c r="G3" s="29">
        <v>10785575</v>
      </c>
      <c r="H3" s="7">
        <f>2246599+1000000</f>
        <v>3246599</v>
      </c>
      <c r="I3" s="29">
        <f>G3-H3</f>
        <v>7538976</v>
      </c>
    </row>
    <row r="4" spans="2:9">
      <c r="B4" s="44"/>
      <c r="C4" s="4"/>
      <c r="D4" s="5"/>
      <c r="E4" s="5"/>
      <c r="F4" s="6"/>
      <c r="G4" s="7"/>
      <c r="H4" s="7"/>
      <c r="I4" s="29"/>
    </row>
    <row r="5" spans="2:9">
      <c r="B5" s="44"/>
      <c r="C5" s="4"/>
      <c r="D5" s="5"/>
      <c r="E5" s="5"/>
      <c r="F5" s="6"/>
      <c r="G5" s="7"/>
      <c r="H5" s="7"/>
      <c r="I5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K7"/>
  <sheetViews>
    <sheetView workbookViewId="0">
      <selection activeCell="F16" sqref="F16"/>
    </sheetView>
  </sheetViews>
  <sheetFormatPr baseColWidth="10" defaultRowHeight="15.75"/>
  <cols>
    <col min="2" max="2" width="15.25" bestFit="1" customWidth="1"/>
    <col min="3" max="3" width="11.125" bestFit="1" customWidth="1"/>
    <col min="4" max="4" width="13.375" bestFit="1" customWidth="1"/>
    <col min="5" max="5" width="13.375" customWidth="1"/>
    <col min="6" max="6" width="11.625" bestFit="1" customWidth="1"/>
    <col min="7" max="9" width="13.75" bestFit="1" customWidth="1"/>
  </cols>
  <sheetData>
    <row r="2" spans="2:11">
      <c r="B2" s="8" t="s">
        <v>6</v>
      </c>
      <c r="C2" s="8" t="s">
        <v>7</v>
      </c>
      <c r="D2" s="8" t="s">
        <v>8</v>
      </c>
      <c r="E2" s="8" t="s">
        <v>25</v>
      </c>
      <c r="F2" s="8" t="s">
        <v>9</v>
      </c>
      <c r="G2" s="8" t="s">
        <v>10</v>
      </c>
      <c r="H2" s="8" t="s">
        <v>0</v>
      </c>
      <c r="I2" s="8" t="s">
        <v>1</v>
      </c>
    </row>
    <row r="3" spans="2:11">
      <c r="B3" s="3" t="s">
        <v>13</v>
      </c>
      <c r="C3" s="4">
        <v>157701</v>
      </c>
      <c r="D3" s="5">
        <v>42571</v>
      </c>
      <c r="E3" s="5">
        <f>D3+60</f>
        <v>42631</v>
      </c>
      <c r="F3" s="6">
        <v>13767.15</v>
      </c>
      <c r="G3" s="7">
        <f>F3*655.957</f>
        <v>9030658.4125500005</v>
      </c>
      <c r="H3" s="7">
        <f>9207321</f>
        <v>9207321</v>
      </c>
      <c r="I3" s="29">
        <f>G3-H3</f>
        <v>-176662.58744999953</v>
      </c>
      <c r="J3" s="33"/>
      <c r="K3" s="34"/>
    </row>
    <row r="4" spans="2:11">
      <c r="B4" s="85" t="s">
        <v>15</v>
      </c>
      <c r="C4" s="4">
        <v>161833</v>
      </c>
      <c r="D4" s="5">
        <v>42719</v>
      </c>
      <c r="E4" s="5">
        <f t="shared" ref="E4:E6" si="0">D4+60</f>
        <v>42779</v>
      </c>
      <c r="F4" s="6">
        <v>7148.72</v>
      </c>
      <c r="G4" s="7">
        <f>F4*655.957</f>
        <v>4689252.9250400001</v>
      </c>
      <c r="H4" s="7">
        <v>4940261</v>
      </c>
      <c r="I4" s="29">
        <f>G4-H4</f>
        <v>-251008.07495999988</v>
      </c>
      <c r="J4" s="33"/>
      <c r="K4" s="34"/>
    </row>
    <row r="5" spans="2:11">
      <c r="B5" s="85"/>
      <c r="C5" s="4">
        <v>157701</v>
      </c>
      <c r="D5" s="5">
        <v>42724</v>
      </c>
      <c r="E5" s="5">
        <f t="shared" si="0"/>
        <v>42784</v>
      </c>
      <c r="F5" s="6">
        <v>857.6</v>
      </c>
      <c r="G5" s="7">
        <f>F5*655.957</f>
        <v>562548.72320000001</v>
      </c>
      <c r="H5" s="13"/>
      <c r="I5" s="13"/>
    </row>
    <row r="6" spans="2:11">
      <c r="B6" s="28" t="s">
        <v>22</v>
      </c>
      <c r="C6" s="4">
        <v>164698</v>
      </c>
      <c r="D6" s="5">
        <v>42845</v>
      </c>
      <c r="E6" s="5">
        <f t="shared" si="0"/>
        <v>42905</v>
      </c>
      <c r="F6" s="6">
        <v>7459.6</v>
      </c>
      <c r="G6" s="7">
        <f>F6*655.957</f>
        <v>4893176.8372</v>
      </c>
      <c r="H6" s="7">
        <v>4465506</v>
      </c>
      <c r="I6" s="29">
        <f>G6-H6+(I3+I4)</f>
        <v>0.17479000054299831</v>
      </c>
    </row>
    <row r="7" spans="2:11">
      <c r="B7" s="38" t="s">
        <v>28</v>
      </c>
      <c r="C7" s="4">
        <v>169084</v>
      </c>
      <c r="D7" s="5">
        <v>42972</v>
      </c>
      <c r="E7" s="5">
        <v>43039</v>
      </c>
      <c r="F7" s="6">
        <v>10232.799999999999</v>
      </c>
      <c r="G7" s="7">
        <f>F7*655.957</f>
        <v>6712276.7895999998</v>
      </c>
      <c r="H7" s="7">
        <v>6712277</v>
      </c>
      <c r="I7" s="39">
        <f>G7-H7</f>
        <v>-0.21040000021457672</v>
      </c>
    </row>
  </sheetData>
  <mergeCells count="1"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FABORY</vt:lpstr>
      <vt:lpstr>CHAVESBAO</vt:lpstr>
      <vt:lpstr>INDEX</vt:lpstr>
      <vt:lpstr>CELESA</vt:lpstr>
      <vt:lpstr>TENTE</vt:lpstr>
      <vt:lpstr>TRANSPORTEUR</vt:lpstr>
      <vt:lpstr>TRANSITAIRE</vt:lpstr>
      <vt:lpstr>BERNABE</vt:lpstr>
      <vt:lpstr>STAPPERT</vt:lpstr>
      <vt:lpstr>EMILE MAURIN</vt:lpstr>
      <vt:lpstr>DELA</vt:lpstr>
      <vt:lpstr>DESCOURS &amp; CABAUD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Pilou</dc:creator>
  <cp:lastModifiedBy>SOSB04</cp:lastModifiedBy>
  <cp:lastPrinted>2016-09-02T17:50:26Z</cp:lastPrinted>
  <dcterms:created xsi:type="dcterms:W3CDTF">2015-10-01T07:18:44Z</dcterms:created>
  <dcterms:modified xsi:type="dcterms:W3CDTF">2020-06-22T15:45:38Z</dcterms:modified>
</cp:coreProperties>
</file>